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8415" windowHeight="7875"/>
  </bookViews>
  <sheets>
    <sheet name="rudiereinigerdsr_12182012085408" sheetId="1" r:id="rId1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</calcChain>
</file>

<file path=xl/sharedStrings.xml><?xml version="1.0" encoding="utf-8"?>
<sst xmlns="http://schemas.openxmlformats.org/spreadsheetml/2006/main" count="34934" uniqueCount="7076">
  <si>
    <t>Expanded Item Description</t>
  </si>
  <si>
    <t>Stock</t>
  </si>
  <si>
    <t>3M FOOD SERVICES TRADE DEPT.</t>
  </si>
  <si>
    <t>MONITOR SHORTENING FILTR REFILL 4 CASE 40 COUNT</t>
  </si>
  <si>
    <t>YES</t>
  </si>
  <si>
    <t>CASE</t>
  </si>
  <si>
    <t xml:space="preserve"> </t>
  </si>
  <si>
    <t>PAD SCOURING GENERAL PURPOSE 40 COUNT</t>
  </si>
  <si>
    <t>CLEANER AEROSOL POLISH STAINLESS STEEL 12 CASE 21 OUNCE</t>
  </si>
  <si>
    <t>PAD SCOURING POWER NYLON MEDIUM 20 COUNT 1 COUNT</t>
  </si>
  <si>
    <t>PAD POWER HEAVY DUTY 5.5X3.9 3 CASE 20 COUNT</t>
  </si>
  <si>
    <t>PAD SCREEN GRIDDLE FIBERGLASS 4X5.5 10 CASE 20 COUNT</t>
  </si>
  <si>
    <t>SCREEN GRIDDLE NIAGRA 4X5.5 10 CASE 20 COUNT</t>
  </si>
  <si>
    <t>SCOURING PAD SCOTCH BRITE PURPLE 24 COUNT</t>
  </si>
  <si>
    <t>PAD SPONGE POWER BLUE 20 COUNT 1 COUNT</t>
  </si>
  <si>
    <t>TAPE BOX SEALING TARTAN 48X50 36 ROLL</t>
  </si>
  <si>
    <t>PAD EASY ERASE SCOTCH BRITE 12 COUNT</t>
  </si>
  <si>
    <t>PAD HOLDER MULTI. PURPOSE 1 COUNT</t>
  </si>
  <si>
    <t>SQUEEGEE 1 COUNT</t>
  </si>
  <si>
    <t>BLADE REPLACEMENT SQUEEGEE SCOTCH BRITE 1 EACH</t>
  </si>
  <si>
    <t>6+</t>
  </si>
  <si>
    <t>1     1    EA</t>
  </si>
  <si>
    <t>CLEANER FLOOR SWEEPER MANUAL SMALL 1 COUNT</t>
  </si>
  <si>
    <t>PAD GRIDDLE NYLON 4X5.25 3 CASE 20 COUNT</t>
  </si>
  <si>
    <t>CLEANER HOLDER PAD &amp; SCREEN GRIDDLE 10 CASE 1 COUNT</t>
  </si>
  <si>
    <t>GRIDDLE PAD NIAGARA 4X5.25 20 CASE 1 COUNT</t>
  </si>
  <si>
    <t>FLOOR SWEEPER LARGE 1 COUNT</t>
  </si>
  <si>
    <t>PAD LIGHT DUTY SCRUBBER SPONGE 20 COUNT 1 COUNT</t>
  </si>
  <si>
    <t>GRIDDLE LIQUID PACKETS QUICK CLEAN 40 COUNT</t>
  </si>
  <si>
    <t>CLEANER GRIDDLE LIQUID QUICK QUART 4 CASE 1 QUART</t>
  </si>
  <si>
    <t>CLEANER SCOTCH BRITE LIQUID SMALL APPLIANCE 2 CASE 2 QUART</t>
  </si>
  <si>
    <t>GRILL KIT QUICK CLEAN 1 COUNT</t>
  </si>
  <si>
    <t>PAD LIGHT DUTY DOBIE CLEANING 24 COUNT</t>
  </si>
  <si>
    <t>SPONGE SCRUBBER MEDIUM DUTY 20 CASE 1 COUNT</t>
  </si>
  <si>
    <t>SCOTCH BRITE QUICK CLEAN HEAVY DUTY GRIDDLE PAD 15 COUNT</t>
  </si>
  <si>
    <t>SPONGE NIAGARA SCOURING 6X3.5 20 COUNT 1 COUNT</t>
  </si>
  <si>
    <t>PAD GRIDDLE CLEANING FIBERGLASS HEAVY DUTY 4 CASE 10 COUNT</t>
  </si>
  <si>
    <t>SCRUBBER STAINLESS STEEL 1.25 OUNCE 6 CASE 12 COUNT</t>
  </si>
  <si>
    <t>STAINLESS STEEL SCRUBBER 1.75 OUNCE 12 COUNT</t>
  </si>
  <si>
    <t>PAD SCRUBBER CASH &amp; CARRY STAINLESS STEEL PACK 6 CASE 12 COUNT</t>
  </si>
  <si>
    <t>CLEANER PAD SCRUB &amp; STRIP BROWN 4 CASE 5 COUNT</t>
  </si>
  <si>
    <t>PAD SCOURING HEAVY DUTY 6X9 3 CASE 12 COUNT</t>
  </si>
  <si>
    <t>PAD SCOURING NIAGARA HEAVY DUTY 6X9 15 COUNT 1 COUNT</t>
  </si>
  <si>
    <t>SCRUBBER 3M STAINLESS STEEL 18 CASE 1 COUNT</t>
  </si>
  <si>
    <t>PAD SCOURING PLASTIC EXTRA HEAVY DUTY 4 CASE 10 COUNT</t>
  </si>
  <si>
    <t>SPONGE NIAGARA HEAVY DUTY 3.5X5 20 CASE 1 COUNT</t>
  </si>
  <si>
    <t>PAD LIGHT SCRUBBER 3.5X5 40 COUNT 1 COUNT</t>
  </si>
  <si>
    <t>PAD SCRUBBING NIAGARA GENERAL PURPOSE 2 CASE 40 COUNT</t>
  </si>
  <si>
    <t>PAD CLEANING DEEP FRY 4X25 24 CASE 1 COUNT</t>
  </si>
  <si>
    <t>PAD SCOURING ALL PURPOSE 4X5.25 40 CASE 1 COUNT</t>
  </si>
  <si>
    <t>CLEANER PAD &amp; SPONGE SCRUBBER COMB SOFT 4 CASE 10 COUNT</t>
  </si>
  <si>
    <t>SCRUBBER BRICK GRIDDLE 3 CASE 4 COUNT</t>
  </si>
  <si>
    <t>PAD SCOURING GENERAL PURPOSE COMMERCIAL MEDIUM WEIGHT 3 CASE 20 COUNT</t>
  </si>
  <si>
    <t>PAD SCOURING ALL PURPOSE 3X4.5 2 CASE 40 COUNT</t>
  </si>
  <si>
    <t>PAD SCOURING NIAGARA GENERAL PURPOSE 6X9 20 CASE 1 COUNT</t>
  </si>
  <si>
    <t>PAD SCOURING MEDIUM DUTY 6X9 6 CASE 10 COUNT</t>
  </si>
  <si>
    <t>PAD SCOURING MEDUIM DUTY 6X9 3 CASE 20 COUNT</t>
  </si>
  <si>
    <t>SPNG COMMERCIAL SIZE 6.5X4X1 24 COUNT 2 COUNT</t>
  </si>
  <si>
    <t>CARTRIDGE MACH SYSTEM ROLL PLASTIC 100FT 1 ROLL</t>
  </si>
  <si>
    <t>TAPE PRINTED LABEL 48MM 4 COUNT</t>
  </si>
  <si>
    <t>GRILL BRICK 3.5X4X8 12 COUNT</t>
  </si>
  <si>
    <t>AJM PACKAGING</t>
  </si>
  <si>
    <t>PLATE PAPER 7 GOLD LABEL GREASE RESISTANT 10 CASE 100 COUNT</t>
  </si>
  <si>
    <t>9 PREMIUM SMOOTHWALL PAPER PLATE 4 CASE 125 COUNT</t>
  </si>
  <si>
    <t>PAPER PLATE GOLD LABEL GREASE RESISTANT 9 12 CASE 100 COUNT</t>
  </si>
  <si>
    <t>PAPER PLATE GOLD LABEL GREASE RESISTANT 9 10 CASE 100 COUNT</t>
  </si>
  <si>
    <t>PLATE PAPER ULTRA HEAVY COATED 9 10 CASE 35 COUNT</t>
  </si>
  <si>
    <t>BAG #2 NATURAL KRAFT 500 COUNT</t>
  </si>
  <si>
    <t>BAG 4# NATURAL KRAFT 500 COUNT</t>
  </si>
  <si>
    <t>BAG 5# NATURAL KRAFT 500 COUNT</t>
  </si>
  <si>
    <t>BAG 6# NATURAL KRAFT 500 COUNT</t>
  </si>
  <si>
    <t>BAG 8# NATURAL KRAFT 500 COUNT</t>
  </si>
  <si>
    <t>BAG 10# NATURAL KRAFT 500 COUNT</t>
  </si>
  <si>
    <t>BAG 12# NATURAL KRAFT 500 COUNT</t>
  </si>
  <si>
    <t>BAG 16# NATURAL KRAFT 500 COUNT</t>
  </si>
  <si>
    <t>BAG 1/6 BBL. 57# N KRAFT 500 COUNT</t>
  </si>
  <si>
    <t>BAG N 75# KRAFT 1/6BBL 400 COUNT</t>
  </si>
  <si>
    <t>BAG 1/6 BBL. 70# KRAFT WITH HANDLE 300 COUNT</t>
  </si>
  <si>
    <t>BAG LUNCH 24 CASE 50 COUNT</t>
  </si>
  <si>
    <t>BAG PINT LIQUOR N KRAFT 500 COUNT</t>
  </si>
  <si>
    <t>BAG QUART LIQUOR N KRAFT 500 COUNT</t>
  </si>
  <si>
    <t>PAPER PLATE WHITE UNCOATED BULK 6 1000 COUNT</t>
  </si>
  <si>
    <t>PAPER PLATE GREEN LABEL 6 10 CASE 100 COUNT</t>
  </si>
  <si>
    <t>PAPER PLATE WHITE UNCOATED 9 BULK 1000 COUNT</t>
  </si>
  <si>
    <t>PAPER PLATE GREEN LABEL 9 12 CASE 100 COUNT</t>
  </si>
  <si>
    <t>PAPER PLATE GREEN LABEL 9 10 CASE 100 COUNT</t>
  </si>
  <si>
    <t>PLATE PAPER 9 GREEN LABEL 24 CASE 40 COUNT</t>
  </si>
  <si>
    <t>BAG KRAFT 20# SQUAT 500 COUNT</t>
  </si>
  <si>
    <t>BAG KRAFT 25# SQUAT 500 COUNT</t>
  </si>
  <si>
    <t>BAG 25# SQUAT BLEACHED 500 COUNT</t>
  </si>
  <si>
    <t>BAG 25# SQUAT 50BW N KRAFT 500 COUNT</t>
  </si>
  <si>
    <t>BAG 20# SQUAT 50BW N KRAFT 2 CASE 250 COUNT</t>
  </si>
  <si>
    <t>BAG 20# SQUAT 60BW N KRAFT 500 COUNT</t>
  </si>
  <si>
    <t>BAG 1/8BBL 57# SQUAT N KRAFT 500 COUNT</t>
  </si>
  <si>
    <t>BAG BLEACHED 2# 500 COUNT</t>
  </si>
  <si>
    <t>BAG BLEACHED 4# 500 COUNT</t>
  </si>
  <si>
    <t>BAG BLEACHED 5# 500 COUNT</t>
  </si>
  <si>
    <t>BAG BLEACHED 6# 500 COUNT</t>
  </si>
  <si>
    <t>BAG BLEACHED 8# 500 COUNT</t>
  </si>
  <si>
    <t>BAG BLEACHED 10# 500 COUNT</t>
  </si>
  <si>
    <t>BAG BLEACHED 12# 500 COUNT</t>
  </si>
  <si>
    <t>BAG BLEACHED 16# 500 COUNT</t>
  </si>
  <si>
    <t>BAG BLEACHED SQUAT 20# 500 COUNT</t>
  </si>
  <si>
    <t>BAG 20# TALL BLEACHED 500 COUNT</t>
  </si>
  <si>
    <t>ALLIED METAL SPINNING CORP</t>
  </si>
  <si>
    <t>CUTTER PIZZA WHEEL 2.5 ALUMINUM HANDLE 1 EACH</t>
  </si>
  <si>
    <t>12+</t>
  </si>
  <si>
    <t>STEAMER BAMBOO SET.10 3 1 EACH</t>
  </si>
  <si>
    <t>10+</t>
  </si>
  <si>
    <t>STEAMER BAMBOO SET 83TIER 1 EACH</t>
  </si>
  <si>
    <t>CUTTER COOKIE BISCUIT 3 INCH DIAMETER 1 EACH</t>
  </si>
  <si>
    <t>PAN BAKE REMOVABLE BOTTOM 10X2 1 EACH</t>
  </si>
  <si>
    <t>PAN SET REMOVABLE BOTTOM 10X3 1 EACH</t>
  </si>
  <si>
    <t>PAN BAKE REMOVABLE BOTTOM 8X2 1 EACH</t>
  </si>
  <si>
    <t>SCRAPER/CUTTER DOUGH 4 1/2 1 EACH</t>
  </si>
  <si>
    <t>CLEAVER CHINESE 8 INCH STAINLESS STEEL 1 EACH</t>
  </si>
  <si>
    <t>PAN 2 STRAIGHT SIDED 10 INCH ALUMINUM 1 EACH</t>
  </si>
  <si>
    <t>PAN 2' STRAIGHT SIDED 12 INCH ALUMINUM 1 EACH</t>
  </si>
  <si>
    <t>PAN 2' STRAIGHT SIDED 14 ALUMINUM 1 EACH</t>
  </si>
  <si>
    <t>PAN 2' STRAIGHT SIDED 6 ALUMINUM 1 EACH</t>
  </si>
  <si>
    <t>PAN 2' STRAIGHT SIDED 8 INCH ALUMINUM 1 EACH</t>
  </si>
  <si>
    <t>PAN CAKE ALUMINUM 1 EACH</t>
  </si>
  <si>
    <t>PAN 3' STRAIGHT SIDED 10 INCH 1 EACH</t>
  </si>
  <si>
    <t>PAN 3' STRAIGHT SIDED 8 INCH 1 EACH</t>
  </si>
  <si>
    <t>PAN PIZZA 1 TAPERED RIM 10 INCH 1 EACH</t>
  </si>
  <si>
    <t>PAN PIZZA 1 TAPERED RIM 12 INCH 1 EACH</t>
  </si>
  <si>
    <t>PAN PIZZA 1 TAPERED RIM 14 1 EACH</t>
  </si>
  <si>
    <t>PAN PIZZA 2 INCH TAPERED RIM 14 1 EACH</t>
  </si>
  <si>
    <t>PAN PIZZA 1 TAPERED RIM 16 1 EACH</t>
  </si>
  <si>
    <t>PAN PIZZA 1 TAPERED RIM 7 1 EACH</t>
  </si>
  <si>
    <t>PAN PIZZA 1 TAPERED RIM 8 INCH 1 EACH</t>
  </si>
  <si>
    <t>PAN PIZZA 1 TAPERED RIM 9 1 EACH</t>
  </si>
  <si>
    <t>COVER FOR DP800 PAN ALUMINUM 1 EACH</t>
  </si>
  <si>
    <t>DOCKER DOUGH 4 7/8 STAINLESS STEEL 1 COUNT</t>
  </si>
  <si>
    <t>DOCKER DOUGH 3.5 POLY. 1 COUNT</t>
  </si>
  <si>
    <t>DOCKER DOUGH 8.75 HANDLE 1 COUNT</t>
  </si>
  <si>
    <t>CUTTER DOUGHNUT 3 INCH DIAMETER 1 EACH</t>
  </si>
  <si>
    <t>PAN PROOF DOUGH ALUMINUM 7.5 1 EACH</t>
  </si>
  <si>
    <t>PIE PAN 9TOP 7 BOTTOM ALUMINUM 1 EACH</t>
  </si>
  <si>
    <t>PIE PAN 10TOP 8 INCH BOTTOM ALUMINUM 1 EACH</t>
  </si>
  <si>
    <t>PIE PAN 11TOP 9 BOTTOM ALUMINUM 1 EACH</t>
  </si>
  <si>
    <t>PIE PAN 12TOP 10 INCH BOTTOM 1 EACH</t>
  </si>
  <si>
    <t>SIEVE FLOUR 12 INCH DIAMETER 1 COUNT</t>
  </si>
  <si>
    <t>SIEVE FLOUR 16 DIAMETER 1 COUNT</t>
  </si>
  <si>
    <t>ROLLING PIN 5 1/2 STAINLESS STEEL HANDLE 1 COUNT</t>
  </si>
  <si>
    <t>BRUSH BENCH FLOUR NYLON 1 EACH</t>
  </si>
  <si>
    <t>CUTTER DOUGH WHEEL 6 BLADE 1 EACH</t>
  </si>
  <si>
    <t>GRINDER MEAT 1 COUNT</t>
  </si>
  <si>
    <t>PAN MUFFIN ALUMINUM 12 CUP 1 EACH</t>
  </si>
  <si>
    <t>PAN MUFFIN ALUMINUM 24 CUP 1 EACH</t>
  </si>
  <si>
    <t>WOK MANCHURIAN 16 1 EACH</t>
  </si>
  <si>
    <t>5+</t>
  </si>
  <si>
    <t>PEEL ALUMINUM 12X14 27 OVERALL 1 EACH</t>
  </si>
  <si>
    <t>4+</t>
  </si>
  <si>
    <t>PEEL ALUMINUM 12X14 36 OVERALL 1 EACH</t>
  </si>
  <si>
    <t>PEEL ALUMINUM 12X14 52 OVERALL 1 EACH</t>
  </si>
  <si>
    <t>PEEL ALUMINUM 14X16 38 OVERALL 1 EACH</t>
  </si>
  <si>
    <t>PEEL ALUMINUM 16X18 30 OVERALL 1 EACH</t>
  </si>
  <si>
    <t>BLENDER SIFTER STAINLESS STEEL MANUAL 1 COUNT</t>
  </si>
  <si>
    <t>BAG PASTRY CANVAS/POLY 14 1 EACH</t>
  </si>
  <si>
    <t>BAG PASTRY CANVAS/POLY 16 1 EACH</t>
  </si>
  <si>
    <t>BAG PASTRY CANVAS/POLY 18 1 EACH</t>
  </si>
  <si>
    <t>BAG PASTRY CANVAS/POLY 21 INCH 1 EACH</t>
  </si>
  <si>
    <t>BAG PASTRY CANVAS/POLY 12 INCH 1 EACH</t>
  </si>
  <si>
    <t>PIZZA DISCS PERFORATED 10 INCH DIAMETER 1 EACH</t>
  </si>
  <si>
    <t>PIZZA DISCS PERFORATED 12 INCH DIAMETER 1 EACH</t>
  </si>
  <si>
    <t>PIZZA DISCS PERFORATED 14 DIAMETER 1 EACH</t>
  </si>
  <si>
    <t>PIZZA DISCS PERFORATED 16 DIAMETER 1 EACH</t>
  </si>
  <si>
    <t>PIZZA DISCS PERFORATED 18 DIAMETER 1 EACH</t>
  </si>
  <si>
    <t>KNIFE PIZZA 16 BLADE ONE HANDLE 1 COUNT</t>
  </si>
  <si>
    <t>KNIFE PIZZA 20 ROCKER BLADE 1 COUNT</t>
  </si>
  <si>
    <t>TONG PASTRY FLAT STAINLESS STEEL 1 EACH</t>
  </si>
  <si>
    <t>POPPER BUBBLE 30 1 EACH</t>
  </si>
  <si>
    <t>POPPER BOUBLE 43 1 EACH</t>
  </si>
  <si>
    <t>POTATO PRESS HEAVY DUTY 1 EACH</t>
  </si>
  <si>
    <t>2+</t>
  </si>
  <si>
    <t>SCREEN PIZZA ROUND ALUMINUM 20 1 EACH</t>
  </si>
  <si>
    <t>SCREEN PIZZA ROUND ALUMINUM 24 1 EACH</t>
  </si>
  <si>
    <t>SCREEN PIZZA ROUND ALUMINUM 28 INCH 1 EACH</t>
  </si>
  <si>
    <t>SCREEN PIZZA ROUND ALUMINUM 6 1 EACH</t>
  </si>
  <si>
    <t>SCREEN PIZZA ROUND ALUMINUM 7 1 EACH</t>
  </si>
  <si>
    <t>RACK PIZZA SCREEN 4 SECTION 1 EACH</t>
  </si>
  <si>
    <t>RACK FOR PIZZA PAN 11 SHELF 1 EACH</t>
  </si>
  <si>
    <t>KIT DECORATING LARGE SIZE 12 TIPS 1 SET</t>
  </si>
  <si>
    <t>DREGE POLY. 3/LIDS 1 EACH</t>
  </si>
  <si>
    <t>PAN SPRING FORM 10 INCH TIN PLATE 1 EACH</t>
  </si>
  <si>
    <t>PAN SPRING FORM 8 INCH TIN PLATE 1 EACH</t>
  </si>
  <si>
    <t>PAN SPRING FORM 9 TIN PLATE 1 EACH</t>
  </si>
  <si>
    <t>MAT BAKING FULL PAN SIZE 1 EACH</t>
  </si>
  <si>
    <t>3+</t>
  </si>
  <si>
    <t>MAT BAKING HALF SHEET PAN SIZE 1 EACH</t>
  </si>
  <si>
    <t>MESH SKIMMER ROUND 6 1 EACH</t>
  </si>
  <si>
    <t>MESH SKIMMER ROUND 8 INCH 1 EACH</t>
  </si>
  <si>
    <t>PAN PIZZA 1.5 NON STICK 12 INCH 1 EACH</t>
  </si>
  <si>
    <t>PAN PIZZA 1.5 NON STICK 14 1 EACH</t>
  </si>
  <si>
    <t>PAN PIZZA 1.5 NON STICK 16 1 EACH</t>
  </si>
  <si>
    <t>PAN PIZZA 10 INCH DIAMETER ALUMINUM 1 EACH</t>
  </si>
  <si>
    <t>PAN PIZZA 11 DIAMETER ALUMINUM 1 EACH</t>
  </si>
  <si>
    <t>PAN PIZZA 12 DIAMETER ALUMINUM 1 EACH</t>
  </si>
  <si>
    <t>PAN PIZZA 13DI ALUMINUM 1 EACH</t>
  </si>
  <si>
    <t>PAN PIZZA 14 DIAMETER ALUMINUM 1 EACH</t>
  </si>
  <si>
    <t>PAN PIZZA 15 DIAMETER ALUMINUM 1 EACH</t>
  </si>
  <si>
    <t>PAN PIZZA 16 DIAMETER ALUMINUM 1 EACH</t>
  </si>
  <si>
    <t>PAN PIZZA 17 DIAMETER ALUMINUM 1 EACH</t>
  </si>
  <si>
    <t>PAN PIZZA 18 DIAMETER ALUMINUM 1 EACH</t>
  </si>
  <si>
    <t>PAN PIZZA 19 DIAMETER ALUMINUM 1 EACH</t>
  </si>
  <si>
    <t>PAN PIZZA 20 DIAMETER ALUMINUM 1 EACH</t>
  </si>
  <si>
    <t>PAN PIZZA 7 DIAMETER ALUMINUM 1 EACH</t>
  </si>
  <si>
    <t>PAN PIZZA 8 INCH DIAMETER ALUMINUM 1 EACH</t>
  </si>
  <si>
    <t>PAN PIZZA 9 DIAMETER ALUMINUM 1 EACH</t>
  </si>
  <si>
    <t>COVER BASING ALUMINUM TAPERED 10 INCH 1 EACH</t>
  </si>
  <si>
    <t>COVER BASTING ALUMINUM TAPERED 8 INCH 1 EACH</t>
  </si>
  <si>
    <t>PAN CAKE TUBE ANGEL ALUMINUM 7.5 1 EACH</t>
  </si>
  <si>
    <t>PAN CAKE TUBE ANGEL ALUMINUM 9 1 EACH</t>
  </si>
  <si>
    <t>PAN CAKE TUBE ANGEL ALUMINUM 9 1/2 INCHES 1 EACH</t>
  </si>
  <si>
    <t>PAN CAKE ANGEL FALS BOTTOM 9.5 1 EACH</t>
  </si>
  <si>
    <t>GRATE PAN 16X24 1 EACH</t>
  </si>
  <si>
    <t>BRUSH WOK WOOD HANDLE 20 1 EACH</t>
  </si>
  <si>
    <t>BRUSH WOK WOOD HANDLE 8 1/2 1 EACH</t>
  </si>
  <si>
    <t>PEEL WOOD 12X14 22 OVERALL 1 EACH</t>
  </si>
  <si>
    <t>PEEL WOOD 12X14 36 OVERALL 1 EACH</t>
  </si>
  <si>
    <t>PEEL WOOD 12X14 42 OVERALL 1 EACH</t>
  </si>
  <si>
    <t>PEEL WOOD 14X16 36 OVERALL 1 EACH</t>
  </si>
  <si>
    <t>PEEL WOOD 14X16 42 OVERALL 1 EACH</t>
  </si>
  <si>
    <t>PEEL WOOD 16X18 42 OVERALL 1 EACH</t>
  </si>
  <si>
    <t>PEEL WOOD 18X18 32 OVERALL 1 EACH</t>
  </si>
  <si>
    <t>PEEL WOOD 18X18 42 OVERALL 1 EACH</t>
  </si>
  <si>
    <t>PEEL WOOD 20X21 42 OVERALL 1 EACH</t>
  </si>
  <si>
    <t>PEEL WOOD 16X29.5 36 OVERALL 1 EACH</t>
  </si>
  <si>
    <t>PEEL WOOD 18X29.5 36 OVERALL 1 EACH</t>
  </si>
  <si>
    <t>WOK RING FOR 12 20WOK 1 EACH</t>
  </si>
  <si>
    <t>WOK 14COLED ROLLED STEEL 1 EACH</t>
  </si>
  <si>
    <t>WOK 20COLED ROLLED STEEL 1 EACH</t>
  </si>
  <si>
    <t>AMREP</t>
  </si>
  <si>
    <t>TIMEMIST COLLECTION DISPENSER WHITE GREY 1 EACH</t>
  </si>
  <si>
    <t>MICRO TIMEMIST COLLECTION METERED DISPENSER BEIGE 1 EACH</t>
  </si>
  <si>
    <t>MICRO TIMEMIST COLLECTION METERED DISPOSABLE WHITE GRAY 1 EACH</t>
  </si>
  <si>
    <t>TIMEMIST COLLECTION DISPENSER CLASSIC WHITE 1 EACH</t>
  </si>
  <si>
    <t>TIMEMIST COLLECTION PREMIUM METERED REFILL CLEAN N FRESH 12 COUNT</t>
  </si>
  <si>
    <t>BABY POWDER 12 COUNT</t>
  </si>
  <si>
    <t>TIMEMIST COLLECTION PREMIUM METERED REFILL COUNTRY GARDEN 12 COUNT</t>
  </si>
  <si>
    <t>TIMEMIST COLLECTION PREMIUM METERED REFILL MANGO 12 COUNT</t>
  </si>
  <si>
    <t>MICRO TIMEMIST COLLECTION AIR FRESHENER REFILL CLEAN N FRESH 12 COUNT</t>
  </si>
  <si>
    <t>MICRO TIMEMIST COLLECTION AIR FRESHENER REFILL COUNTRY GARDEN 12 COUNT</t>
  </si>
  <si>
    <t>MICRO TIMEMIST COLLECTION AIR FRESHENER REFILL MANGO 12 COUNT</t>
  </si>
  <si>
    <t>TIMEMIST COLLECTION CLEAN AIR PURGE 3 OUNCE 6 COUNT</t>
  </si>
  <si>
    <t>TIMEWICK REFILL SUNDRIED LINEN 6 COUNT</t>
  </si>
  <si>
    <t>TIMEWICK REFILL MANGO SMOOTHIE 6 COUNT</t>
  </si>
  <si>
    <t>TIMEMIST COLLECTION YANKEE CANDLE CLEAN COTTON 12 COUNT</t>
  </si>
  <si>
    <t>TIMEMIST COLLECTION YANKEE CANDLE BUTTERCREAM 12 COUNT</t>
  </si>
  <si>
    <t>YANKEE CANDLE COLLECTION BUTTERCREAM 3 OUNCE 12 COUNT</t>
  </si>
  <si>
    <t>TIMEMIST COLLECTION AIR SANITIZER 30DAY LIME 12 COUNT</t>
  </si>
  <si>
    <t>ANCHOR HOCKING</t>
  </si>
  <si>
    <t>GOBLET 18 OUNCE WEISS 1 DOZEN</t>
  </si>
  <si>
    <t>GOBLET 20 OUNCE WEISS 1 DOZEN</t>
  </si>
  <si>
    <t>STOLZLE ALL PURPOSE GLASS 15 OUNCE 4 DOZEN</t>
  </si>
  <si>
    <t>WEINLAND ALL PURPOSE GLASS 4 DOZEN</t>
  </si>
  <si>
    <t>GLASS WEINLAND CABERNET BORDEAUX 18 OUNCES 4 DOZEN</t>
  </si>
  <si>
    <t>STOLZLE CABERNET WINE GLASS 4 DOZEN</t>
  </si>
  <si>
    <t>MUG BEER WAGON 10 OUNCE 2 DOZEN</t>
  </si>
  <si>
    <t>MUG BEER WAGON 12 OUNCE 2 DOZEN</t>
  </si>
  <si>
    <t>ONE LITRE GUSTO MUG 1 DOZEN</t>
  </si>
  <si>
    <t>PITCHER BEER WAGON 55OZ 6 COUNT</t>
  </si>
  <si>
    <t>BEER TANKARD 10 OUNCE 1 DOZEN</t>
  </si>
  <si>
    <t>BEER TANKARD 12 OUNCE 1 DOZEN</t>
  </si>
  <si>
    <t>WINE CARAFE 1/2L/16.9OZ 1 DOZEN</t>
  </si>
  <si>
    <t>MUG 22OZ BAVARIAN HANDLED BEER MUG 6 COUNT</t>
  </si>
  <si>
    <t>WINE CARAFE 1L/33.8OZ 1 DOZEN</t>
  </si>
  <si>
    <t>SQUARE ASHTRAY 3.625 3 DOZEN</t>
  </si>
  <si>
    <t>SNUFFER ASHTRAY CLEAR 4.375 3 DOZEN</t>
  </si>
  <si>
    <t>GLASS 13 OUNCE FOOTED PILSNER 6 COUNT</t>
  </si>
  <si>
    <t>SALT PEPPER SHAKER 2OZ 2 DOZEN</t>
  </si>
  <si>
    <t>MIXING GLASS 16OZ 2 DOZEN</t>
  </si>
  <si>
    <t>SALT PEPPER CRYSTAL 3.25 3 DOZEN</t>
  </si>
  <si>
    <t>BEER MUG 12OZ 2 DOZEN</t>
  </si>
  <si>
    <t>OLD FASHIONED BEACON HILLMAN 10.25 3 DOZEN</t>
  </si>
  <si>
    <t>POCOHANTAS RIM TEMPERED 10.5X10X21 OUNCE 2 DOZEN</t>
  </si>
  <si>
    <t>GLASS POCO. EXCELLENCY 13.5 OUNCE 1 DOZEN</t>
  </si>
  <si>
    <t>MARGARITA EXCELLENCY 1 DOZEN</t>
  </si>
  <si>
    <t>ROOM TUMBLER 8OZ 6 DOZEN</t>
  </si>
  <si>
    <t>GLASS JUICE VOTIVE JIGGER 3OZ 3 DOZEN</t>
  </si>
  <si>
    <t>PUNCH CUP 6OZ 3 DOZEN</t>
  </si>
  <si>
    <t>WEINLAND WATER 16 OUNCE GLASS 4 DOZEN</t>
  </si>
  <si>
    <t>GLASS 7 OUNCE FOOTED ROCKS EXCELLENCY 3 DOZEN</t>
  </si>
  <si>
    <t>FOOTED HIGH BALL EXCELLENCY 8OZ 3 DOZEN</t>
  </si>
  <si>
    <t>FOOTED HIGH BALL EXCELLENCY 10 OUNCE 3 DOZEN</t>
  </si>
  <si>
    <t>MARGARITA 12OZ 2 DOZEN</t>
  </si>
  <si>
    <t>MARGATE EXCELLENCY 16.75OZ 12 DOZEN</t>
  </si>
  <si>
    <t>WINE EXCELLENCY RIM TEMPERED 6.5OZ 3 DOZEN</t>
  </si>
  <si>
    <t>WINE EXCELLENCY RIM TEMPERED 8.5OZ 3 DOZEN</t>
  </si>
  <si>
    <t>WINE EXCELLENCY RIM TEMPERED 10.5X10X21 OUNCE 3 DOZEN</t>
  </si>
  <si>
    <t>GOBLET EXCELLENCY RIM TEMPERED 10.5X10X21 OUNCE 3 DOZEN</t>
  </si>
  <si>
    <t>GOBLET EXCELLENCY RIM TEMPERED 12 OUNCE 3 DOZEN</t>
  </si>
  <si>
    <t>WINE EXCELLENCY RIM TEMPERED 6.5 OUNCE 3 DOZEN</t>
  </si>
  <si>
    <t>GLASS WINE EXCELLENCY 8.5 OUNCE 3 DOZEN</t>
  </si>
  <si>
    <t>PILSNER EXCELLENCY RIM TEMPERED 12 OUNCE 3 DOZEN</t>
  </si>
  <si>
    <t>MUG COFFEE IRISH 8OZ 2 DOZEN</t>
  </si>
  <si>
    <t>HIGH BALL REGENCY 8 OUNCE 6 DOZEN</t>
  </si>
  <si>
    <t>DOUBLE ROCKS HEAVY BASE 13 OUNCE 3 DOZEN</t>
  </si>
  <si>
    <t>OLD FASHIONED CONCORD 10.5X10X21 OUNCE 36 CASE 3 DOZEN</t>
  </si>
  <si>
    <t>DOUBLE OLD FASHIONED CONCORD 12.5OZ 3 DOZEN</t>
  </si>
  <si>
    <t>HIGH BALL HEAVY BASE 7 OUNCE 6 DOZEN</t>
  </si>
  <si>
    <t>HIGH BALL HEAVY BASE 8 OUNCE 6 DOZEN</t>
  </si>
  <si>
    <t>HIGH BALL HEAVY BASE 9 OUNCE 6 DOZEN</t>
  </si>
  <si>
    <t>HIGH BALL HEAVY BASE 10.5X10X21 OUNCE 6 DOZEN</t>
  </si>
  <si>
    <t>BEVERAGE HEAVY BASE 12.5 OUNCE 6 DOZEN</t>
  </si>
  <si>
    <t>ICED TEA HEAVY BASE 15 OUNCE 3 DOZEN</t>
  </si>
  <si>
    <t>ROCKS HEAVY BASE 9 OUNCE 3 DOZEN</t>
  </si>
  <si>
    <t>COLLINS HEAVY BASE 10.5X10X21 OUNCE 3 DOZEN</t>
  </si>
  <si>
    <t>ZOMBIE FROSTED SHELL 12 OUNCE 6 DOZEN</t>
  </si>
  <si>
    <t>ZOMBIE SHELL 12 OUNCE 6 DOZEN</t>
  </si>
  <si>
    <t>GLASS WHISKEY 1.5 OUNCE 6 DOZEN</t>
  </si>
  <si>
    <t>GLASS 3/4 OUNCE WHISKEY 6 DOZEN</t>
  </si>
  <si>
    <t>GLASS WHISKEY 7/8 OUNCE 6 DOZEN</t>
  </si>
  <si>
    <t>WHISKEY GLASS 1OZ 6 DOZEN</t>
  </si>
  <si>
    <t>BRANDY EXCELLENCY RIM TEMPERED 9 OUNCE 2 DOZEN</t>
  </si>
  <si>
    <t>GLASS 6 OUNCE BRANDY EXCELLENCY 2 DOZEN</t>
  </si>
  <si>
    <t>BRANDY EXCELLENCY RIM TEMPERED 12.5 OUNCE 2 DOZEN</t>
  </si>
  <si>
    <t>TUMBLER BARRELL 9 OUNCE 3 DOZEN</t>
  </si>
  <si>
    <t>FOOTED HURRICANE 15 OUNCE 1 DOZEN</t>
  </si>
  <si>
    <t>GLASS WHISKEY .5OZ CAP. LINE 6 DOZEN</t>
  </si>
  <si>
    <t>GLAS 1.25OZ WHISKEY 6 DOZEN</t>
  </si>
  <si>
    <t>3/4 OUNCE LINE WHISKEY 1.5 OUNCE 4 DOZEN</t>
  </si>
  <si>
    <t>7/8 OUNCE LINE WHISKEY 1.5 OUNCE 4 DOZEN</t>
  </si>
  <si>
    <t>WHISKEY GLASS 1.5 OUNCE 4 DOZEN</t>
  </si>
  <si>
    <t>ONE OUNCE LINE WHISKEY 2 OUNCE 4 DOZEN</t>
  </si>
  <si>
    <t>WHISKEY GLASS 2 OUNCE 4 DOZEN</t>
  </si>
  <si>
    <t>SODA 12.5 OUNCE 36 CASE 1 EACH</t>
  </si>
  <si>
    <t>TULIP SUNDAE 5.5 OUNCE 3 DOZEN</t>
  </si>
  <si>
    <t>WAVERLY SHERBET 5 OUNCE 3 DOZEN</t>
  </si>
  <si>
    <t>FOOTED SHERBET 4.5 OUNCE 36 CASE 1 EACH</t>
  </si>
  <si>
    <t>TOWER SALT &amp; PEPPER ONE OUNCE 24 CASE 1 EACH</t>
  </si>
  <si>
    <t>GLASS 16 OUNCE ICED TEA TARTAN 12 CASE 1 EACH</t>
  </si>
  <si>
    <t>ROCKS TARTAN 10.5OZ 12 CASE 1 EACH</t>
  </si>
  <si>
    <t>JAR ONE GALLON WITH COVER 1 EACH</t>
  </si>
  <si>
    <t>JAR 2 GALLON WITH COVER 1 EACH</t>
  </si>
  <si>
    <t>JAR CANDY 1GA WITH CHROME COVER 4 CASE 1 EACH</t>
  </si>
  <si>
    <t>MIXING GLASS RIM TEMPERED 16 OUNCE 2 DOZEN</t>
  </si>
  <si>
    <t>STACKING SAFETY ASHTRAY 5 INCH 3 DOZEN</t>
  </si>
  <si>
    <t>BEVERAGE STACKABLES R.T. 10 OUNCE 3 DOZEN</t>
  </si>
  <si>
    <t>COOLER THE STACKABLES RIM TEMPERED 16OZ 36 CASE 3 DOZEN</t>
  </si>
  <si>
    <t>COOLER STACKABLE 20 OUNCE 2 DOZEN</t>
  </si>
  <si>
    <t>BAVARIAN PILSNER RIM TEMPERED 9 OUNCE 3 DOZEN</t>
  </si>
  <si>
    <t>BAVARIAN PILSNER RIM TEMPERED 10 OUNCE 3 DOZEN</t>
  </si>
  <si>
    <t>BAVARIAN PILSNER RIM TEMPERED 12 OUNCE 3 DOZEN</t>
  </si>
  <si>
    <t>GLASS SELTZER SHELL 6OZ 6 DOZEN</t>
  </si>
  <si>
    <t>HIGH BALL SHELL RIM TEMPERED 8 OUNCE 6 DOZEN</t>
  </si>
  <si>
    <t>GLASS COLLINS SHELL 10 OUNCE 6 DOZEN</t>
  </si>
  <si>
    <t>MIXING GLASS RIM TEMPERED 14OZ 3 DOZEN</t>
  </si>
  <si>
    <t>HIGH BALL NEW ORLEANS RIM TEMPERED 9 OUNCE 3 DOZEN</t>
  </si>
  <si>
    <t>BEVERAGE NEW ORLEANS RIM TEMPERED 10 OUNCE 3 DOZEN</t>
  </si>
  <si>
    <t>BEVERAGE NEW ORLEANS RIM TEMPERED 12 OUNCE 3 DOZEN</t>
  </si>
  <si>
    <t>COOLER NEW ORLEANS RIM TEMPERED 12 OUNCE 3 DOZEN</t>
  </si>
  <si>
    <t>MIXING GLASS RIM TEMPERED 2 DOZEN</t>
  </si>
  <si>
    <t>GLASS MIXING 22 OUNCE RIM TEMPERED 2 DOZEN</t>
  </si>
  <si>
    <t>ICED TEA NEW ORLEANS RIM TEMPERED 14.5 OUNCE 3 DOZEN</t>
  </si>
  <si>
    <t>ICED TEA NEW ORLEANS RIM TEMPERED 22OZ 2 DOZEN</t>
  </si>
  <si>
    <t>COOLER NEW ORLEANS RIM TEMPERED 16OZ 3 DOZEN</t>
  </si>
  <si>
    <t>ROCKS CLARISSE RIM TEMPERED 10OZ 3 DOZEN</t>
  </si>
  <si>
    <t>ROCKS CLARISSE RIM TEMPERED 7OZ 3 DOZEN</t>
  </si>
  <si>
    <t>ROCKS CLARISSE RIM TEMPERED 8 OUNCE 3 DOZEN</t>
  </si>
  <si>
    <t>ROCKS CLARISSE RIM TEMPERED 12 OUNCE 3 DOZEN</t>
  </si>
  <si>
    <t>BEVERAGE CLARISSE RIM TEMPERED 12 OUNCE 3 DOZEN</t>
  </si>
  <si>
    <t>BEVERAGE CLARISSE RIM TEMPERED 14OZ 3 DOZEN</t>
  </si>
  <si>
    <t>GLASS BEVERAGE COOLER CLARISSE 16OZ 3 DOZEN</t>
  </si>
  <si>
    <t>ROCKS NEW ORLEANS 9 OUNCE 3 DOZEN</t>
  </si>
  <si>
    <t>HIGH BALL BRECKENRIDGE RIM TEMPERED 9OZ 3 DOZEN</t>
  </si>
  <si>
    <t>GOBLET BRECKENRIDGE RIM TEMPERED 10.5OZ 3 DOZEN</t>
  </si>
  <si>
    <t>BEVERAGE BRECKENRIDGE RIM TEMPERED 12.5OZ 3 DOZEN</t>
  </si>
  <si>
    <t>RED WINE FLORENTINE 13OZ 2 DOZEN</t>
  </si>
  <si>
    <t>COOLER BRECKENRIDGE RIM TEMPERED 16OZ 3 DOZEN</t>
  </si>
  <si>
    <t>WINE FLORENTINE 8.5 OUNCE 2 DOZEN</t>
  </si>
  <si>
    <t>FLUTE CHAMPAGNE FLORENTINE 6OZ 2 DOZEN</t>
  </si>
  <si>
    <t>WINE FLORENTINE 11OZ 2 DOZEN</t>
  </si>
  <si>
    <t>JAR CANDY WITH HOLDER 2 COUNT</t>
  </si>
  <si>
    <t>GLASS MARTINI MARBEYA 9 OUNCE 1 DOZEN</t>
  </si>
  <si>
    <t>GLASS 9OZ CELEBRATE MARTINI 12 CASE 1 DOZEN</t>
  </si>
  <si>
    <t>GLASS 23Z PILSNER 24 CASE 2 DOZEN</t>
  </si>
  <si>
    <t>PLATE 6.25 3 DOZEN</t>
  </si>
  <si>
    <t>SALAD PLATE 8 INCH 3 DOZEN</t>
  </si>
  <si>
    <t>SUGAR PACKET HOLDER 12 CASE 1 EACH</t>
  </si>
  <si>
    <t>GLASS 4.5 OUNCE NEW ORLEANS ROCK 3 DOZEN</t>
  </si>
  <si>
    <t>GLASS 5 OUNCE ROCK NEW ORLEANS 3 DOZEN</t>
  </si>
  <si>
    <t>GLASS 7 OUNCE ROCK NEW ORLEANS RT. 3 DOZEN</t>
  </si>
  <si>
    <t>GLASS 8 OUNCE ROCK NEW ORLEANS RT. 3 DOZEN</t>
  </si>
  <si>
    <t>GLASS 9 OUNCE ROCK NEW ORLEANS RT. 3 DOZEN</t>
  </si>
  <si>
    <t>GLASS 9.5 OZ ROCK 3 DOZEN</t>
  </si>
  <si>
    <t>GLASS 12 OUNCE DOUBLE ROCK NEW ORLEANS 3 DOZEN</t>
  </si>
  <si>
    <t>PADLE SPECIALTY FOR BARBAR 1 DOZEN</t>
  </si>
  <si>
    <t>GLASS ROCKS 10 OUNCE 2 DOZEN</t>
  </si>
  <si>
    <t>GLASS SOLACE 15.75 OUNCE COOLER 2 DOZEN</t>
  </si>
  <si>
    <t>GLASS FLORENTINE 8.5 OUNCE MINI 2 DOZEN</t>
  </si>
  <si>
    <t>MUG 10 OUNCE PANELED 2 DOZEN</t>
  </si>
  <si>
    <t>BARBARY PILSNER BEER 16OZ 2 DOZEN</t>
  </si>
  <si>
    <t>BARBARY TUMBLER BEER 13 OUNCE 2 DOZEN</t>
  </si>
  <si>
    <t>BARBARY TASTERS BEER 4.5 2 DOZEN</t>
  </si>
  <si>
    <t>CRUET 10 OUNCE STOPPER PRESENCE 6 CASE 1 EACH</t>
  </si>
  <si>
    <t>GLASS TREVA TALL BEER 14OZ 2 DOZEN</t>
  </si>
  <si>
    <t>GLASS MARTINI ASHBURY 6 OUNCE 3 DOZEN</t>
  </si>
  <si>
    <t>GLASS OF DISCO 8.5 OUNCE 2 DOZEN</t>
  </si>
  <si>
    <t>GLASS DOUBLE OF DISCO 11 OUNCE 2 DOZEN</t>
  </si>
  <si>
    <t>GLASS COLLINS 11.5 OUNCE DISCO 2 DOZEN</t>
  </si>
  <si>
    <t>ANCHOR PACKAGING INC.</t>
  </si>
  <si>
    <t>HONEY BAKED HAM CULINARY CLASSIC 9.5X10.5 100 COUNT</t>
  </si>
  <si>
    <t>APW/WYOTT FOODSERVICE EQUIPMENT CO.</t>
  </si>
  <si>
    <t>PLATE ADAPTOR 12X27 3/7QT INSETS 1 COUNT</t>
  </si>
  <si>
    <t>TOASTER CONVEYOR RADIANT 12OV 1 COUNT</t>
  </si>
  <si>
    <t>CABINET HEATED BUN 1 COUNT</t>
  </si>
  <si>
    <t>DISPENSER HEATED PUMP #10CAN120V 1 COUNT</t>
  </si>
  <si>
    <t>COOKER WARMER 12X20 120 VOLT 1 COUNT</t>
  </si>
  <si>
    <t>BROILER HOT DOG WITH BUN WARMER 1 COUNT</t>
  </si>
  <si>
    <t>STEAMER HOT DOG 1 COUNT</t>
  </si>
  <si>
    <t>POPPER POPCORN 120 VOLT 1 COUNT</t>
  </si>
  <si>
    <t>WARMER DISPLAY 120 VOLT 1 COUNT</t>
  </si>
  <si>
    <t>COOKER WARMER ROUND 11QT 120 VOLT 1 COUNT</t>
  </si>
  <si>
    <t>COOKER WARMER ROUND 7QT 120 VOLT 1 COUNT</t>
  </si>
  <si>
    <t>GUARD SNEEZE 1 COUNT</t>
  </si>
  <si>
    <t>WARMER 12X20 120 VOLT 1 COUNT</t>
  </si>
  <si>
    <t>WARMER 12X27 120 VOLT 1 COUNT</t>
  </si>
  <si>
    <t>ATLANTIC MILLS CORP.</t>
  </si>
  <si>
    <t>BIB APRON FULL 28X32 HEAVYWEIGHT 50 EACH</t>
  </si>
  <si>
    <t>APRON LIGHT WEIGHT 28X32 SEWN TIES 100 EACH</t>
  </si>
  <si>
    <t>CLOTH ORANGE DOT. STRETCH &amp; CLEAN 100 EACH</t>
  </si>
  <si>
    <t>ALL PURPOSE WIPES WHITE 12X13 800 EACH</t>
  </si>
  <si>
    <t>WIPE MED. 13.5X24 150 EACH</t>
  </si>
  <si>
    <t>TOWEL BLUE MEDIUM DUTY 13.5X24 150 EACH</t>
  </si>
  <si>
    <t>TOWEL MEDIUM DUTY WHITE 13.5X21 150 EACH</t>
  </si>
  <si>
    <t>TOWEL MEDIUM DUTY BLUE 13.5X21 150 EACH</t>
  </si>
  <si>
    <t>FOOD SERVICE WIPERS RUST. COLORED 150 EACH</t>
  </si>
  <si>
    <t>TOWEL MEDIUM DUTY WHITE 13.5X24 150 EACH</t>
  </si>
  <si>
    <t>TOWEL MEDIUM DUTY BLUE 13.5X24 150 EACH</t>
  </si>
  <si>
    <t>WIPE WHITE RAYON POLY. 150 EACH</t>
  </si>
  <si>
    <t>WIPE MEDIUM DUTY BLUE 13.5X21 150 EACH</t>
  </si>
  <si>
    <t>TOWEL MEDIUM DUTY RUST. 13 1/2 INCHES 150 EACH</t>
  </si>
  <si>
    <t>TOWEL HEAVY DUTY YELLOW 13.5X21 150 EACH</t>
  </si>
  <si>
    <t>TOWEL HEAVY DUTY WHITE 13.5X24 72 EACH</t>
  </si>
  <si>
    <t>TOWEL LIGHT DUTY PINK WITH WHITE 13X20 200 EACH</t>
  </si>
  <si>
    <t>WIPE ECONO PURPLE WITH WHITE 13X20 900 CASE 1 EACH</t>
  </si>
  <si>
    <t>WIPE ECONO 13X20 PINK WITH WHITE 200 EACH</t>
  </si>
  <si>
    <t>TOWEL HEAVY DUTY GREEN 13X15 45 EACH</t>
  </si>
  <si>
    <t>TOWEL MEDIUM DUTY GREEN 13.5X24 100 EACH</t>
  </si>
  <si>
    <t>TOWEL MEDIUM DUTY GREEN 16X14 SANITIZER 50 EACH</t>
  </si>
  <si>
    <t>BAR MAID CORP.</t>
  </si>
  <si>
    <t>WASHER GLASS 115V UPRIGHT 1 COUNT</t>
  </si>
  <si>
    <t>BRUSH SET.BRS917 BRS922 5 COUNT</t>
  </si>
  <si>
    <t>BRUSH 6 STANDARD REPLACEMENT 1 COUNT</t>
  </si>
  <si>
    <t>WASHER GLASS MANUAL 2 BRUSH 1 COUNT</t>
  </si>
  <si>
    <t>WASHER GLASS MANUAL 3 BRUSH 1 COUNT</t>
  </si>
  <si>
    <t>WASHER GLASS 115V SUBMERSIBLE 1 COUNT</t>
  </si>
  <si>
    <t>POURER PREMIUM 1 OUNCE BLACK COLLAR 1 DOZEN</t>
  </si>
  <si>
    <t>POURER PREMIUM 1.25 OUNCE GREEN BLACK COLLAR 1 DOZEN</t>
  </si>
  <si>
    <t>PREMIUM POURER 1.25 OUNCE RED BLACK COLLAR 1 DOZEN</t>
  </si>
  <si>
    <t>POURER PREMIUM 1 OUNCE FLIP TOP BLUE BLACK COLLAR 1 DOZEN</t>
  </si>
  <si>
    <t>POURER PREMIUM 1.25 OUNCE FLIP TOP GREEN 1 DOZEN</t>
  </si>
  <si>
    <t>POURER PREMIUM 1.5 OUNCE FLIP TOP 1 DOZEN</t>
  </si>
  <si>
    <t>MUDDLER SOLID PLASTIC BLACK 2 COUNT</t>
  </si>
  <si>
    <t>BAR ORGANIZER BLACK POLYSTYRENE 1 COUNT</t>
  </si>
  <si>
    <t>1     1    CNT</t>
  </si>
  <si>
    <t>TUBE RACK SHOOTER 24 HOLES CLEAR 1 COUNT</t>
  </si>
  <si>
    <t>SHOOTER TUBES 6 CRYSTAL ASSORTED COLOR 100 COUNT</t>
  </si>
  <si>
    <t>BETTERWAY POURER VIVID YELLOW 12 DOZEN</t>
  </si>
  <si>
    <t>SUPERB SEAL BAR DRAIN EXTENSION 8 INCH 2 COUNT</t>
  </si>
  <si>
    <t>SUPERB SEAL BAR DRAIN EXTENSION 10 INCH 2 COUNT</t>
  </si>
  <si>
    <t>72+</t>
  </si>
  <si>
    <t>1     2    CNT</t>
  </si>
  <si>
    <t>POWER BOMB RED GREEN BLUE PURPLE 16 CASE 25 COUNT</t>
  </si>
  <si>
    <t>MAT THERMOPLASTIC RUBBER ONE PIECE 1 COUNT</t>
  </si>
  <si>
    <t>SANI-MAID TABLETS QUATERNARY SANITIZER 6 CASE 150 COUNT</t>
  </si>
  <si>
    <t>LOSUDS DETERGENT 4 CASE 1 GALLON</t>
  </si>
  <si>
    <t>BRUSH SET UNIVERSAL 4XBRS-917SL &amp; 1XBRS-920SL 5 COUNT</t>
  </si>
  <si>
    <t>SANI-MAID PAPER QUATERNARY SANITIZER TEST 12 CASE 100 COUNT</t>
  </si>
  <si>
    <t>SANI-MAID PAPER CHLORINATED SANITIZER TEST 12 CASE 100 COUNT</t>
  </si>
  <si>
    <t>BELLARICO'S PIZZA DRY</t>
  </si>
  <si>
    <t>BAG BELLARICOS PIZZA 1000 COUNT</t>
  </si>
  <si>
    <t>BOX WINDOW PIZZA 7 250 COUNT</t>
  </si>
  <si>
    <t>BOX PIZZA WINDOW CLAMSHELL 6 250 COUNT</t>
  </si>
  <si>
    <t>BOX 12 INCH BELLARICOS 50 COUNT</t>
  </si>
  <si>
    <t>BLAZE PRODUCTS</t>
  </si>
  <si>
    <t>FUEL CHAFING ETHANOL 2 HOUR 72 CASE 7 OUNCE</t>
  </si>
  <si>
    <t>FUEL GOLD BLAZE CHAFING ETHANOL 144 COUNT</t>
  </si>
  <si>
    <t>FUEL CLEARWICK 24 CASE 8 OUNCE</t>
  </si>
  <si>
    <t>FUEL CHAFING METHANOL 2 HOUR 72 CASE 7 OUNCE</t>
  </si>
  <si>
    <t>FUEL GOLD GALAXY 2HR 4 CASE 1 GALLON</t>
  </si>
  <si>
    <t>FUEL WICKED CHAFING 6HR 24 CASE 8 OUNCE</t>
  </si>
  <si>
    <t>FUEL WICKED CHAFING 4 HOUR 6 OUNCE 24 COUNT</t>
  </si>
  <si>
    <t>FUEL SCREWCAP WICK FOR HER 24 CASE 6 OUNCE</t>
  </si>
  <si>
    <t>BOYD PRODUCTS</t>
  </si>
  <si>
    <t>APRON POLYETHYLENE 1000 ML 24X42 10 CASE 100 COUNT</t>
  </si>
  <si>
    <t>APRON POLYETHYLENE 1.25ML 28X46 10 CASE 100 COUNT</t>
  </si>
  <si>
    <t>GLOVE PAIR LATEX FLOCK LINED MEDIUM 10 COUNT 12 PAIR</t>
  </si>
  <si>
    <t>FLOCK LATEX LINED 10 CASE 12 PAIR</t>
  </si>
  <si>
    <t>GLOVE DISPOSABLE POWDERED LATEX SMALL 10 CASE 100 COUNT</t>
  </si>
  <si>
    <t>GLOVE DISPOSABLE POWDERED LATEX MEDIUM 10 CASE 100 COUNT</t>
  </si>
  <si>
    <t>GLOVE DISPOSABLE POWDERED LATEX LARGE 10 CASE 100 COUNT</t>
  </si>
  <si>
    <t>GLOVE DISPOSABLE POWDERED LATEX EXTRA LARGE 10 CASE 100 COUNT</t>
  </si>
  <si>
    <t>GLOVES MEDIUM POWDER FREE NON-MEDICAL NITRILE 10 CASE 100 COUNT</t>
  </si>
  <si>
    <t>GLOVE NITRILE POWDER FREE NON-MEDICAL LARGE 10 CASE 100 COUNT</t>
  </si>
  <si>
    <t>GLOVES EXTRA LARGE POWDER FREE NON-MEDICAL NITRILE 10 CASE 100 COUNT</t>
  </si>
  <si>
    <t>GLOVE POWDER FREE DISPOSABLE LATEX SMALL 10 CASE 100 COUNT</t>
  </si>
  <si>
    <t>GLOVE POWDER FREE DISPOSABLE LATEX MEDIUM 10 CASE 100 COUNT</t>
  </si>
  <si>
    <t>GLOVE POWDER FREE DISPOSABLE LATEX LARGE 10 CASE 100 COUNT</t>
  </si>
  <si>
    <t>GLOVE LATEX EXTRA LARGE POWDER FREE 10 CASE 100 COUNT</t>
  </si>
  <si>
    <t>GLOVE SYNTHETIC VINYL POWDER FREE MEDIUM 10 CASE 100 COUNT</t>
  </si>
  <si>
    <t>GLOVE SYNTHETIC VINYL POWDER FREE LARGE 10 CASE 100 COUNT</t>
  </si>
  <si>
    <t>GLOVE SYNTHETIC VINYL POWDER FREE EXTRA LARGE 10 CASE 100 COUNT</t>
  </si>
  <si>
    <t>GLOVE POWDERED DISPOSABLE VINYL SMALL 10 CASE 100 COUNT</t>
  </si>
  <si>
    <t>GLOVE POWDERED DISPOSABLE VINYL MEDIUM 10 CASE 100 COUNT</t>
  </si>
  <si>
    <t>GLOVE POWDERED DISPOSABLE VINYL LARGE 10 CASE 100 COUNT</t>
  </si>
  <si>
    <t>GLOVE POWDERED DISPOSABLE VINYL EXTRA LARGE 10 CASE 100 COUNT</t>
  </si>
  <si>
    <t>GLOVE SMALL VINYL LONG CUFF POWDER FREE 10 CASE 100 COUNT</t>
  </si>
  <si>
    <t>GLOVE VINYL MEDIUM LONG CUFF POWDER FREE 10 CASE 100 COUNT</t>
  </si>
  <si>
    <t>GLOVE VINYL LARGE LONG CUFF POWDER FREE 10 CASE 100 COUNT</t>
  </si>
  <si>
    <t>GLOVE POWDER FREE DISPOSABLE VINYL EXTRA LARGE 10 CASE 100 COUNT</t>
  </si>
  <si>
    <t>GLOVE 1MIL POLYETHYLENE MEDIUM 10 CASE 10/100 COUNT</t>
  </si>
  <si>
    <t>GLOVE 1MIL POLYETHYLENE LARGE 10 CASE 10/100 COUNT</t>
  </si>
  <si>
    <t>BUNN-O-MATIC</t>
  </si>
  <si>
    <t>FILTER TEA 12.75X5.25 500 COUNT</t>
  </si>
  <si>
    <t>FILTER A10 8 &amp; 10 CUP 2 CASE 500 COUNT</t>
  </si>
  <si>
    <t>FILTER A1O 8 CUP BAGGED 2 BAG 500 COUNT</t>
  </si>
  <si>
    <t>FILTER U3 URN 18X7 252 COUNT</t>
  </si>
  <si>
    <t>FILTER URN 20X8 250 COUNT</t>
  </si>
  <si>
    <t>FILTER U3 URN NARROW BASE 18X6 250 COUNT</t>
  </si>
  <si>
    <t>FILTER URN 23X9 250 COUNT</t>
  </si>
  <si>
    <t>FILTER REGULAR 12 CUP 2 CASE 500 COUNT</t>
  </si>
  <si>
    <t>FILTER REGULAR 12 CUP BAGGED 2 BAG 500 COUNT</t>
  </si>
  <si>
    <t>FILTER SYSTEM 15.25X5.375 2 CASE 252 COUNT</t>
  </si>
  <si>
    <t>FILTER REGULAR FAST FLOW 2 CASE 500 COUNT</t>
  </si>
  <si>
    <t>FILTER URN 21X9 250 COUNT</t>
  </si>
  <si>
    <t>FILTER URN 24X11 250 COUNT</t>
  </si>
  <si>
    <t>FILTER GOURMET 13.75 X5.25 2 CASE 250 COUNT</t>
  </si>
  <si>
    <t>BUNN-O-MATIC/EQUIPMENT</t>
  </si>
  <si>
    <t>WATER PITCHER 64 OUNCE 1 COUNT</t>
  </si>
  <si>
    <t>EASY POUR COFFEE DECANTERS BLACK 3 COUNT</t>
  </si>
  <si>
    <t>EASY POUR COFFEE DECANTER ORANGE 3 COUNT</t>
  </si>
  <si>
    <t>COFFEE DECANTER WARMER 1 COUNT</t>
  </si>
  <si>
    <t>12CUP COFFEE BREWER 1 COUNT</t>
  </si>
  <si>
    <t>12CUP COFFEE BREWER WITH WARMER 1 COUNT</t>
  </si>
  <si>
    <t>COFFEE POUROVER WITH 2 BURNER 1 COUNT</t>
  </si>
  <si>
    <t>POUROVER BREWERS 3 WARMERS 1 COUNT</t>
  </si>
  <si>
    <t>FUNNEL BLACK PLASTIC 1 COUNT</t>
  </si>
  <si>
    <t>AIRPOT SUNSET 2.5L 1 EACH</t>
  </si>
  <si>
    <t>AIRPOT SUNSET 3.0L 1 EACH</t>
  </si>
  <si>
    <t>DISPENSER TEA 5 GALLON 1 COUNT</t>
  </si>
  <si>
    <t>COFFEE BREWER WITH 2 WARMER 1 COUNT</t>
  </si>
  <si>
    <t>ICED TEA DISPENSER 1 COUNT</t>
  </si>
  <si>
    <t>EASY CLEAR WATER FILTER 1 COUNT</t>
  </si>
  <si>
    <t>CLEANER BREWER TABS 120 EACH</t>
  </si>
  <si>
    <t>1   120    EA</t>
  </si>
  <si>
    <t>DECANTER COFFEE GLASS 12 CUP BLACK HANDLE 24 COUNT</t>
  </si>
  <si>
    <t>DECANTER COFFEE GLASS 12 CUP BLACK HANDLE 3 COUNT</t>
  </si>
  <si>
    <t>DECANTER COFFEE GLASS 12 CUP ORANGE HANDLE 24 COUNT</t>
  </si>
  <si>
    <t>DECANTER COFFEE GLASS 12 CUP ORANGE HANDLE 3 COUNT</t>
  </si>
  <si>
    <t>CACTUS MAT MFG. CO.</t>
  </si>
  <si>
    <t>MAT 3X5 CATALINA PEBBLE BROWN 1 COUNT</t>
  </si>
  <si>
    <t>VIP BLKCLOUD BLACK 3'X5' 1 EACH</t>
  </si>
  <si>
    <t>MAT VIP DELUXE BLACK 58X39 1 COUNT</t>
  </si>
  <si>
    <t>MAT VIP DELUXE BLACK 29X39 1 COUNT</t>
  </si>
  <si>
    <t>MAT VIP DELUXE RED 58X39 1 COUNT</t>
  </si>
  <si>
    <t>MAT VIP DELUXE RED 29X39 1 COUNT</t>
  </si>
  <si>
    <t>FLOOR MAT RUBBER 3X5 VIP TOPDECK JR BLACK 1 COUNT</t>
  </si>
  <si>
    <t>FLOOR MAT RUBBER 3X5 VIP TOPDECK JR RED 1 COUNT</t>
  </si>
  <si>
    <t>MAT 3X4 HONEYCOMB BROWN 1 COUNT</t>
  </si>
  <si>
    <t>VIP FLOOR MAT RED 58 EXTRA 39 1 COUNT</t>
  </si>
  <si>
    <t>FLOOR MAT RUBBER 3X5 VIP TUFFDECK BLACK 1 COUNT</t>
  </si>
  <si>
    <t>FLOOR MAT RUBBER 3X5 VIP TUFFDECK RED 1 COUNT</t>
  </si>
  <si>
    <t>MAT VIP REDCLOUD 3X5 RED 1 COUNT</t>
  </si>
  <si>
    <t>PORTAMAT KNOCK DOWN RACK 1 COUNT</t>
  </si>
  <si>
    <t>CAMBRO MANUFACTURING CO.</t>
  </si>
  <si>
    <t>SEAT BOOSTER PLASTIC BROWN 1 COUNT</t>
  </si>
  <si>
    <t>SEAT BOOSTER PLASTIC COFFEE BEIGE 1 COUNT</t>
  </si>
  <si>
    <t>SEAT BOOSTER PLASTIC RED 1 COUNT</t>
  </si>
  <si>
    <t>CUP MEASURING PLASTIC ONE QUART CLEAR 1 COUNT</t>
  </si>
  <si>
    <t>TRAY FAST FOOD PLASTIC RED 24 COUNT</t>
  </si>
  <si>
    <t>TRAY FAST FOOD PLASTIC BROWN 24 COUNT</t>
  </si>
  <si>
    <t>COVER PAN PLASTIC CLEAR 1 COUNT</t>
  </si>
  <si>
    <t>COVER PAN PLASTIC FULL SIZE WITH HANDLE 1 COUNT</t>
  </si>
  <si>
    <t>COVER NOTCHED WITH HANDLE 1 COUNT</t>
  </si>
  <si>
    <t>SHELF DRAIN CLEAR 12.75X20.8 1 COUNT</t>
  </si>
  <si>
    <t>RACK 10 COMPARTMENT .5 CUP GRAY 1 COUNT</t>
  </si>
  <si>
    <t>COVER PAN PLASTIC FULL SIZE 1 COUNT</t>
  </si>
  <si>
    <t>STORAGE FOOD PAN FULL SIZE LID TRANSLUCENT 1 COUNT</t>
  </si>
  <si>
    <t>COVER SEAL FULL SIZE TRANSLUCENT 1 COUNT</t>
  </si>
  <si>
    <t>COVER SEAL WHITE FULL SIZE 1 COUNT</t>
  </si>
  <si>
    <t>TUMBLER 12OZ COLORWARE CLEAR 72 COUNT</t>
  </si>
  <si>
    <t>TUMBLER 12 OUNCE COLWE AMBER 72 COUNT</t>
  </si>
  <si>
    <t>TUMBLER 12.6 OUNCE COLORWARE CLEAR 24 COUNT</t>
  </si>
  <si>
    <t>TUMBLER PLASTIC 12.6Z COLORWARE AMBER 24 COUNT</t>
  </si>
  <si>
    <t>TUMBLER 12.6Z PLASTIC STACKABLE RED 24 COUNT</t>
  </si>
  <si>
    <t>TRAY FAST FOOD RED 24 COUNT</t>
  </si>
  <si>
    <t>TRAY BROWN 11.88X16.13 24 COUNT</t>
  </si>
  <si>
    <t>TRAY FAST FOOD 11.88X16.1 CRANBERRY 24 COUNT</t>
  </si>
  <si>
    <t>BOX FOOD STORAGE 18X12X3.5 CLEAR 1 COUNT</t>
  </si>
  <si>
    <t>CONTAINER PLASTIC 3. GALLON CLEAR 1 COUNT</t>
  </si>
  <si>
    <t>CONTAINER PLASTIC 3GA WHITE 6 DEEP 1 COUNT</t>
  </si>
  <si>
    <t>CONTAINER PLASTIC 5 GALLON 12X CLEAR 1 COUNT</t>
  </si>
  <si>
    <t>CONTAINER PLASTIC 5 GALLON CLEAR WHITE 1 COUNT</t>
  </si>
  <si>
    <t>LID CONTAINER CLEAR PLASTIC 12X18FLAT 1 COUNT</t>
  </si>
  <si>
    <t>COVER BOX PLASTIC STORAGE 12X18 WHITE 1 COUNT</t>
  </si>
  <si>
    <t>FOOD PAN FULL SIZE 8.9 QUART BLACK 1 COUNT</t>
  </si>
  <si>
    <t>PAN PLASTIC FULL SIZE 2.5 CLEAR 1 COUNT</t>
  </si>
  <si>
    <t>PAN FULL 2 DEEP AMBER 1 COUNT</t>
  </si>
  <si>
    <t>CONTAINER SQUARE PLASTIC 12 QUART CLEAR 1 COUNT</t>
  </si>
  <si>
    <t>CONTAINER SQUARE PLASTIC 12 QUART WHITE 1 COUNT</t>
  </si>
  <si>
    <t>TRAY SERVING PLASTIC ROUND 14 BLACK 1 COUNT</t>
  </si>
  <si>
    <t>TRAY SERVING PLASTIC ROUND 14 TAB 1 COUNT</t>
  </si>
  <si>
    <t>TRAY FAST FOOD PLASTIC RED 14X18 12 COUNT</t>
  </si>
  <si>
    <t>TRAY PLASTIC FAST FOOD BROWN 12 COUNT</t>
  </si>
  <si>
    <t>FOOD PAN FULL SIZE 13.7 QUART BLACK 1 COUNT</t>
  </si>
  <si>
    <t>PAN PLASTIC FULL SIZE 4 DEEP CLEAR 1 COUNT</t>
  </si>
  <si>
    <t>PAN FULL 4 DEEP AMBER 1 COUNT</t>
  </si>
  <si>
    <t>STORAGE FOOD PAN F/Z 4 TRANSLUCENT 1 COUNT</t>
  </si>
  <si>
    <t>BOX BUS GRAY 15X20X5 4 COUNT</t>
  </si>
  <si>
    <t>TRAY 2X2 COMPARTMENT NAVY BLUE 24 COUNT</t>
  </si>
  <si>
    <t>TRAY SERVING PLASTIC ROUND 16 BLACK 1 COUNT</t>
  </si>
  <si>
    <t>TRAY SERVING PLASTIC ROUND TAB 16 1 COUNT</t>
  </si>
  <si>
    <t>TUMBLER PLASTIC 16 OUNCE COLORWARE 72 COUNT</t>
  </si>
  <si>
    <t>TUMBLER PLASTIC COLORWARE AMBER 16OZ 72 COUNT</t>
  </si>
  <si>
    <t>TUMBLER PLASTIC CLEAR 16.4 OUNCE 24 COUNT</t>
  </si>
  <si>
    <t>TUMBLER 16.4Z CAM-WARE PLASTIC AMBER 24 COUNT</t>
  </si>
  <si>
    <t>TUMBLER 16.4 OUNCE STACKABLE RED 24 COUNT</t>
  </si>
  <si>
    <t>RACK 16 COMPARTMENT FULL CUP GRAY 1 COUNT</t>
  </si>
  <si>
    <t>FOOD PAN FULL SIZE 20.6 QUART BLACK 1 COUNT</t>
  </si>
  <si>
    <t>PAN FULL SIZE 20QT PLASTIC CLEAR 1 COUNT</t>
  </si>
  <si>
    <t>STORAGE FOOD PAN F/Z 6 TRANSLUCENT 1 COUNT</t>
  </si>
  <si>
    <t>CAMRACK 16 COMPARTMENT GRAY 4.25 1 COUNT</t>
  </si>
  <si>
    <t>RACK 16 COMPARTMENT FULL SIZE SOFT GRAY 1 COUNT</t>
  </si>
  <si>
    <t>RACK FULL SIZE 16CMPT GRAY 7.75 1 COUNT</t>
  </si>
  <si>
    <t>RACK FULL SIZE 16 COMPARTMENT GREY 8.5 1 COUNT</t>
  </si>
  <si>
    <t>CONTAINER 22 GALLON CAM-WARE CLEAR 1 COUNT</t>
  </si>
  <si>
    <t>CONTAINER PLASTIC 22 GALLON WHITE 1 COUNT</t>
  </si>
  <si>
    <t>CONTAINER STORAGE PLASTIC CLEAR 1 COUNT</t>
  </si>
  <si>
    <t>BOX FOOD STORAGE 18X26X3.5 WHITE POLYETHYLENE 1 COUNT</t>
  </si>
  <si>
    <t>CONTAINER PLASTIC 8.5 GALLON CLEAR 1 COUNT</t>
  </si>
  <si>
    <t>CONTAINER PLASTIC 8.5 GALLON WHITE 1 COUNT</t>
  </si>
  <si>
    <t>CONTAINER PLASTIC 12.5 GALLON CLEAR 1 COUNT</t>
  </si>
  <si>
    <t>CONTAINER PLASTIC 12.5 GALLON WHITE 1 COUNT</t>
  </si>
  <si>
    <t>LID CONTAINER PLASTIC CLEAR 18X26 1 COUNT</t>
  </si>
  <si>
    <t>COLANDER 4 FOOD STORAGE BOX 18X26X6 1 EACH</t>
  </si>
  <si>
    <t>BOX STORAGE COVER 18X26 WHITE 1 COUNT</t>
  </si>
  <si>
    <t>CONTAINER SQUARE PLASTIC 18 QUART CLEAR 1 COUNT</t>
  </si>
  <si>
    <t>CONTAINER PLASTIC SQUARE 18 QUART WHITE 1 COUNT</t>
  </si>
  <si>
    <t>TUMBLER PLASTIC 22 OUNCE CLEAR 72 COUNT</t>
  </si>
  <si>
    <t>TUMBLER PLASTIC 22 OUNCE AMBER 72 COUNT</t>
  </si>
  <si>
    <t>TUMBLER PLASTIC 22OZ RUBY RED 72 COUNT</t>
  </si>
  <si>
    <t>TUMBLER 22 0Z STACKABLE CLEAR 24 COUNT</t>
  </si>
  <si>
    <t>TUMBLER 22 OUNCE PLASTIC STACKABLE AMBER 24 COUNT</t>
  </si>
  <si>
    <t>TUMBLER 22OZ PLASTIC STACKABLE RUBY RED 24 COUNT</t>
  </si>
  <si>
    <t>CUP MEASURING PLASTIC 2 QUART CLEAR 1 COUNT</t>
  </si>
  <si>
    <t>COVER FLAT FITS GN1/2 CLEAR 2 COUNT</t>
  </si>
  <si>
    <t>COVER PAN PLASTIC 1/2 SIZE CLEAR 1 COUNT</t>
  </si>
  <si>
    <t>COVER PAN 1/2 SIZE WITH HANDLE 1 COUNT</t>
  </si>
  <si>
    <t>COVER 1/2 SIZE NOTCHED CLEAR 1 COUNT</t>
  </si>
  <si>
    <t>DRAIN SHELF HALF SIZE CLEAR 1 COUNT</t>
  </si>
  <si>
    <t>LID FLIP 1/2 SIZE CLEAR 1 COUNT</t>
  </si>
  <si>
    <t>COVER 1/2 SIZE WITH HANDLE AMBER 1 COUNT</t>
  </si>
  <si>
    <t>LID FLIP 1/2 SIZE AMBER 1 COUNT</t>
  </si>
  <si>
    <t>STORAGE FOOD PAN HALF SIZE LID TRANSLUCENT 1 COUNT</t>
  </si>
  <si>
    <t>COVER SEAL 1/2 SIZE TRANSLUCENT 1 COUNT</t>
  </si>
  <si>
    <t>COVER SEAL HALF SIZE WHITE 1 COUNT</t>
  </si>
  <si>
    <t>FOOD PAN HALF SIZE 4.1 QUART BLACK 1 COUNT</t>
  </si>
  <si>
    <t>PAN PLASTIC 1/2 SIZE CLEAR 2.5 1 COUNT</t>
  </si>
  <si>
    <t>PAN 1/2 SIZE 2 DEEP AMBER 1 COUNT</t>
  </si>
  <si>
    <t>CONTAINER SQUARE PLASTIC 22 QUART CLEAR 1 COUNT</t>
  </si>
  <si>
    <t>CONTAINER SQUARE PLASTIC 22 QUART WHITE 1 COUNT</t>
  </si>
  <si>
    <t>COLANDER 3 INCH CLEAR HALF SIZE 1 COUNT</t>
  </si>
  <si>
    <t>LABEL BULK 2X3 250 LABELS PER ROLL 1 ROLL</t>
  </si>
  <si>
    <t>24+</t>
  </si>
  <si>
    <t>1     1    RL</t>
  </si>
  <si>
    <t>FOOD PAN HALF SIZE 6.3 QUART BLACK 1 COUNT</t>
  </si>
  <si>
    <t>PAN. PLASTIC 1/2 SIZE CLEAR 4 1 COUNT</t>
  </si>
  <si>
    <t>PAN.1/2 SIZE 4 DEEP AMBER 1 COUNT</t>
  </si>
  <si>
    <t>FOOD PAN 1/2 SIZE LONG BLACK 1 EACH</t>
  </si>
  <si>
    <t>STORAGE FOOD PAN HALF SIZE 4 TRANSLUCENT 1 COUNT</t>
  </si>
  <si>
    <t>BEVERAGE DISPENSER PLASTIC INSULATED 2.5 BLACK 1 COUNT</t>
  </si>
  <si>
    <t>BEVERAGE DISPENSER PLASTIC INSULATED 2.75G DARK BROWN 1 COUNT</t>
  </si>
  <si>
    <t>COLANDER 5 INCH CLEAR HALF SIZE 1 COUNT</t>
  </si>
  <si>
    <t>CUP MEASURING PLASTIC ONE CUP CLEAR 1 COUNT</t>
  </si>
  <si>
    <t>CAMRACK 25 COMPARTMENT GRAY 1 COUNT</t>
  </si>
  <si>
    <t>CAMRACK FULL SIZE 25 COMPARTMENT GRAY 6.1 1 COUNT</t>
  </si>
  <si>
    <t>RACK 25 COMPARTMENT 7.75 SOFT GRAY 1 COUNT</t>
  </si>
  <si>
    <t>FOOD PAN COLDFEST 1/2 SIZE BLACK 1 COUNT</t>
  </si>
  <si>
    <t>FOOD PAN COLDFEST 1/2 SIZE WHITE 1 COUNT</t>
  </si>
  <si>
    <t>FOOD PAN HALF SIZE 9.4 QUART BLACK 1 COUNT</t>
  </si>
  <si>
    <t>PAN PLASTIC 1/2 SIZE CLEAR 6 1 COUNT</t>
  </si>
  <si>
    <t>STORAGE FOOD PAN HALF SIZE 6 TRANSLUCENT 1 COUNT</t>
  </si>
  <si>
    <t>SERVING TRAY PLASTIC OVAL 22X26.88 BLACK 1 COUNT</t>
  </si>
  <si>
    <t>TRAY SERVING PLASTIC OVAL 22X26.88 TAB 1 COUNT</t>
  </si>
  <si>
    <t>CONTAINER SQUARE PLASTIC 2 QUART CLEAR 1 COUNT</t>
  </si>
  <si>
    <t>CONTAINER PLASTIC 2 QUART WHITE 1 COUNT</t>
  </si>
  <si>
    <t>CONTAINER 3 PACK 2 QUART SQUARE TRANSLUCENT 4 CASE 3 COUNT</t>
  </si>
  <si>
    <t>CAMCARRIER FULL SIZE BLACK 1 COUNT</t>
  </si>
  <si>
    <t>CARRIER CAM. DARK BROWN FULL SIZE 1 COUNT</t>
  </si>
  <si>
    <t>COVER FLAT FITS GN1/3 CLEAR 2 COUNT</t>
  </si>
  <si>
    <t>COVER PAN PLASTIC 1/3 CLEAR 1 COUNT</t>
  </si>
  <si>
    <t>COVER PAN 1/3 WITH HANDLE PLASTIC 1 COUNT</t>
  </si>
  <si>
    <t>COVER NOTCHED WITH HANDLE CLEAR 1 COUNT</t>
  </si>
  <si>
    <t>DRAIN SHELF 1/3 SIZE CLEAR 1 COUNT</t>
  </si>
  <si>
    <t>LID FLIP 1/3 SIZE CLEAR 1 COUNT</t>
  </si>
  <si>
    <t>COVER 1/3 SIZE WITH HANDLE AMBER 1 COUNT</t>
  </si>
  <si>
    <t>LID FLIP 1/3 SIZE AMBER 1 COUNT</t>
  </si>
  <si>
    <t>STORAGE FOOD PAN THIRD SIZE LID TRANSLUCENT 1 COUNT</t>
  </si>
  <si>
    <t>COVER SEAL WHITE GULDEN'S 1/3 SIZE 1 COUNT</t>
  </si>
  <si>
    <t>TUMBLER PLASTIC COLORWARE 32 CLEAR 24 COUNT</t>
  </si>
  <si>
    <t>TUMBLER PLASTIC 32 OUNCE AMBER 24 COUNT</t>
  </si>
  <si>
    <t>TUMBLER PLASTIC 32 OUNCE RED 24 COUNT</t>
  </si>
  <si>
    <t>PAN PLASTIC 1/3 2.5 QUART 1 COUNT</t>
  </si>
  <si>
    <t>FOOD PAN 3.8 QUART 1/3 SIZE BLACK 1 COUNT</t>
  </si>
  <si>
    <t>PAN PLASTIC 1/3 SIZE 4DEEP 1 COUNT</t>
  </si>
  <si>
    <t>PAN 1/3 SIZE 4 DEEP AMBER 1 COUNT</t>
  </si>
  <si>
    <t>STORAGE FOOD PAN THIRD SIZE 4 TRANSLUCENT 1 COUNT</t>
  </si>
  <si>
    <t>CAMTAINER SOUP 3.25GA DARK BROWN 1 COUNT</t>
  </si>
  <si>
    <t>COLANDER 5 INCH CLEAR 1/3 SIZE 1 COUNT</t>
  </si>
  <si>
    <t>FOOD PAN COLDFEST 6 WHITE ONE THIRD SIZE 1 COUNT</t>
  </si>
  <si>
    <t>FOOD PAN 1/3 SIZE 5.6 QUART BLACK 1 COUNT</t>
  </si>
  <si>
    <t>PAN FOOD CLEAR ONE THIRD SIZE 6 1 COUNT</t>
  </si>
  <si>
    <t>PAN 1/3 SIZE 6 DEEP AMBER 1 COUNT</t>
  </si>
  <si>
    <t>STORAGE FOOD PAN THIRD SIZE 6 TRANSLUCENT 1 COUNT</t>
  </si>
  <si>
    <t>CAMRACK 36 COMPARTMENT GRAY 4.25 1 COUNT</t>
  </si>
  <si>
    <t>RACK FULL SIZE 36CMP GREY6.125 1 COUNT</t>
  </si>
  <si>
    <t>MEASURING CUP PLASTIC 4 QUART CLEAR 1 COUNT</t>
  </si>
  <si>
    <t>COVER PAN 1/4 SIZE WITH HANDLE PLASTIC 1 COUNT</t>
  </si>
  <si>
    <t>PAN FOOD DRAIN SHELF 1/4 SIZE 1 COUNT</t>
  </si>
  <si>
    <t>COVER SEAL 1/4 SIZE TRANSLUCENT 1 COUNT</t>
  </si>
  <si>
    <t>PAN PLASTIC 1/4 SIZE CLEAR 1 COUNT</t>
  </si>
  <si>
    <t>PAN PLASTIC 1/4 4 DEEP CLEAR 1 COUNT</t>
  </si>
  <si>
    <t>PAN 1/4 SIZE 4 DEEP AMBER 1 COUNT</t>
  </si>
  <si>
    <t>PAN PLASTIC 1/4 6 DEEP CLEAR 1 COUNT</t>
  </si>
  <si>
    <t>PAN 1/4 SIZE 6 DEEP AMBER 1 COUNT</t>
  </si>
  <si>
    <t>CONTAINER SQUARE PLASTIC 4 QUART CLR4 1 COUNT</t>
  </si>
  <si>
    <t>CONTAINER SQUARE PLASTIC 4 QUART WHITE 1 COUNT</t>
  </si>
  <si>
    <t>CONTAINER 4 PACK 4 QUART SQUARE TRANSLUCENT 4 CASE 3 COUNT</t>
  </si>
  <si>
    <t>CAMTAINER 4.75 GALLON BLACK 1 COUNT</t>
  </si>
  <si>
    <t>DISPENSER PLASTIC BEVERAGE 4.75 DARK BROWN 1 COUNT</t>
  </si>
  <si>
    <t>TUMBLER PLASTIC COLORWARE CLEAR 5 OUNCE 72 COUNT</t>
  </si>
  <si>
    <t>TUMBLER 5.2 OUNCE COLORWARE AMBER 72 COUNT</t>
  </si>
  <si>
    <t>TUMBLER PLASTIC COLORWARE RUBY 5.2Z 72 COUNT</t>
  </si>
  <si>
    <t>TUMBLER 5.2 COLORWARE CLEAR PLASTIC 24 COUNT</t>
  </si>
  <si>
    <t>TUMBLER PLASTIC COLORWARE AMBER 5.2OZ 24 COUNT</t>
  </si>
  <si>
    <t>TUMBLER PLASTIC COLORWARE RED 5.2OZ 24 COUNT</t>
  </si>
  <si>
    <t>MEASURING CUP CLEAR PLASTIC ONE PINT 1 COUNT</t>
  </si>
  <si>
    <t>COVER COLDFEST FLAT GN1/6 2 COUNT</t>
  </si>
  <si>
    <t>COVER PAN PLASTIC 1/6 CLEAR 1 COUNT</t>
  </si>
  <si>
    <t>COVER PAN 1/6 W/HANDLE 1 COUNT</t>
  </si>
  <si>
    <t>PAN. COVER CLEAR 1/6 WITH HANDLE 1 COUNT</t>
  </si>
  <si>
    <t>DRAIN SHELF 1/6 SIZE CLEAR 1 COUNT</t>
  </si>
  <si>
    <t>LID FLIP 1/6 CLEAR 1 COUNT</t>
  </si>
  <si>
    <t>COVER 1/6 AMBER 1 COUNT</t>
  </si>
  <si>
    <t>LID FLIP 1/6 SIZE AMBER 1 COUNT</t>
  </si>
  <si>
    <t>STORAGE FOOD PAN SIXTH SIZE LID TRANSLUCENT 1 COUNT</t>
  </si>
  <si>
    <t>COVER SEAL 1/6 SIZE TRANSLUCENT 1 COUNT</t>
  </si>
  <si>
    <t>COVER SEAL 6.38X6.94 WHITE 1 COUNT</t>
  </si>
  <si>
    <t>PAN CLEAR PLASTIC 1/6 2.5 DEEP 1 COUNT</t>
  </si>
  <si>
    <t>FOOD PAN 1/6 SIZE 1.6 OZ QUART BLACK 1 COUNT</t>
  </si>
  <si>
    <t>PAN CLEAR PLASTIC 1/6 4 DEEP 1 COUNT</t>
  </si>
  <si>
    <t>PAN 1/6 4 DEEP AMBER PLASTIC 1 COUNT</t>
  </si>
  <si>
    <t>STORAGE FOOD PAN SIXTH SIZE 4 TRANSLUCENT 1 COUNT</t>
  </si>
  <si>
    <t>FOOD PAN COLDFEST 6 WHITE ONE SIXTH SIZE 1 COUNT</t>
  </si>
  <si>
    <t>FOOD PAN 1/6 SIZE 6 BLACK 1 COUNT</t>
  </si>
  <si>
    <t>PAN 1/6 6 DEEP 2.5 QUART 1 COUNT</t>
  </si>
  <si>
    <t>PAN 1/6 6 DEEP AMBER 1 COUNT</t>
  </si>
  <si>
    <t>STORAGE FOOD PAN SIXTH SIZE 6 TRANSLUCENT 1 COUNT</t>
  </si>
  <si>
    <t>CONTAINER SQUARE PLASTIC CLEAR 6 QUART 1 COUNT</t>
  </si>
  <si>
    <t>CONTAINER SQUARE PLASTIC WHITE 6 QUART 1 COUNT</t>
  </si>
  <si>
    <t>CONTAINER 2 PACK 6 QUART SQUARE TRANSLUCENT 6 CASE 2 COUNT</t>
  </si>
  <si>
    <t>TUMBLER PLASTIC 80Z COLORWARE CLEAR 72 COUNT</t>
  </si>
  <si>
    <t>TUMBLER PLASTIC COLORWARE TXTD 8OZ 72 COUNT</t>
  </si>
  <si>
    <t>TUMBLER PLASTIC 7.8 COLORWARE RUBY 72 COUNT</t>
  </si>
  <si>
    <t>TUMBLER 7.8 COLORWARE TEXTURED CLEAR 24 COUNT</t>
  </si>
  <si>
    <t>TUMBLER PLASTIC 7.8 OUNCE AMBER 24 COUNT</t>
  </si>
  <si>
    <t>TUMBLER PLASTIC 7.8 OUNCE RUBY RED 24 COUNT</t>
  </si>
  <si>
    <t>CONTAINER PLASTIC SQUARE 1 COUNT</t>
  </si>
  <si>
    <t>CONTAINER PLASTIC SQUARE 8 QUART WHITE 1 COUNT</t>
  </si>
  <si>
    <t>CONTAINER 2 PACK 8. QUART SQUARE TRANSLUCENT 6 CASE 2 COUNT</t>
  </si>
  <si>
    <t>TUMBLER AMBER 9.7 OUNCE PLASTIC SHORT 72 COUNT</t>
  </si>
  <si>
    <t>TUMBLER PLASTIC CLEAR 9.7OZ SHORT 24 COUNT</t>
  </si>
  <si>
    <t>COVER PLASTIC 1/9 SIZE PAN. 1 COUNT</t>
  </si>
  <si>
    <t>COVER SEAL 1/9 SIZE WHITE 1 COUNT</t>
  </si>
  <si>
    <t>TRAY 6 COMPARTMENT SHERWOOD GREEN 24 COUNT</t>
  </si>
  <si>
    <t>PAN PLASTIC 1/9 SIZE 2.5 1 COUNT</t>
  </si>
  <si>
    <t>FOOD PAN 1/9 SIZE .9 QUART BLACK 1 COUNT</t>
  </si>
  <si>
    <t>PAN PLASTIC 1/9 SIZE 4 1 COUNT</t>
  </si>
  <si>
    <t>TUMBLER PLASTIC COLORWARE CLEAR 9.5 OZ 72 COUNT</t>
  </si>
  <si>
    <t>TUMBLER 9.5 OUNCE COLORWARE TEXTURED 72 COUNT</t>
  </si>
  <si>
    <t>TUMBLER PLASTIC STACKABLE 9.8OZ CLEAR 24 COUNT</t>
  </si>
  <si>
    <t>TUMBLER PLASTIC 9.7 OUNCE AMBER 24 COUNT</t>
  </si>
  <si>
    <t>SHAKER CHEESE PLASTIC 10 OZ WITH LID 1 COUNT</t>
  </si>
  <si>
    <t>SHAKER PLASTIC 10 OZ SALT &amp; PEPPER BEIGE LID 1 COUNT</t>
  </si>
  <si>
    <t>CAMRACK 9 COMPARTMENT HUNTS 1 COUNT</t>
  </si>
  <si>
    <t>CADDY ADJUSTABLE DISH BLACK S-SERIES 1 COUNT</t>
  </si>
  <si>
    <t>CART 300 POUND CAPACITY 3 SHELF BLACK 1 COUNT</t>
  </si>
  <si>
    <t>CART KODIAK LABEL 3 INCH SPECKLED GRAY NO BRAKE 1 COUNT</t>
  </si>
  <si>
    <t>HOLDER SILVERWARE FOR BC331 BLACK 1 COUNT</t>
  </si>
  <si>
    <t>CONTAINER TRASH 8 GALLON BLACK 1 COUNT</t>
  </si>
  <si>
    <t>CART UTILITY SPECKLED GRAY 5 INCH CASTERS 1 COUNT</t>
  </si>
  <si>
    <t>TRAY SCHOOL COMPARTMENT 10X14 GREEN 24 COUNT</t>
  </si>
  <si>
    <t>TRAY SCHOOL COMPARTMENT 10X14 NAVY 24 COUNT</t>
  </si>
  <si>
    <t>RACK FULL BASE 20X20X4 GRAY 1 COUNT</t>
  </si>
  <si>
    <t>CRISPER VEGETABLE 32 GALLON WHITE 1 COUNT</t>
  </si>
  <si>
    <t>DOLLY 300 POUND CAPACITY BLACK 1 COUNT</t>
  </si>
  <si>
    <t>CROCK ROUND 1.7 OZ QUART WHITE 1 COUNT</t>
  </si>
  <si>
    <t>COVER FLAT CROCK CLEAR 2 COUNT</t>
  </si>
  <si>
    <t>LID FOR COLORWARE 900P2 1000 COUNT</t>
  </si>
  <si>
    <t>LID FOR COLORWARE TUMBLER 9.5OZ 1000 COUNT</t>
  </si>
  <si>
    <t>LID FOR HERITAGE BOWL 9 OUNCE 1000 COUNT</t>
  </si>
  <si>
    <t>LID FOR HERITAGE 8OZ AND TUMBLER 2000 COUNT</t>
  </si>
  <si>
    <t>JUICE CUP LID FOR 6 OUNCE 1000 COUNT</t>
  </si>
  <si>
    <t>LID FOR LAGUNA TUMBLER 10 OUNCE 1000 COUNT</t>
  </si>
  <si>
    <t>LID FOR LAGUNA TUMBLER LT12 1000 1000 COUNT</t>
  </si>
  <si>
    <t>LID FOR LAGUNA TUMBLER LT6 1500 COUNT</t>
  </si>
  <si>
    <t>LID 4 LAGUNA TUMBLER 8OZ 2000 COUNT</t>
  </si>
  <si>
    <t>LID FOR NEWPORT NT10 1000 COUNT</t>
  </si>
  <si>
    <t>LID FOR NEWPORT TUMBLER NT12 1000 COUNT</t>
  </si>
  <si>
    <t>LID FOR NEWPORT NT5 1500 1500 COUNT</t>
  </si>
  <si>
    <t>MEDIUM LID FOR NEWPORT TUMBLER 8OZ 1000 COUNT</t>
  </si>
  <si>
    <t>LID FOR TURNBURY BOWL 9 OUNCE 1000 COUNT</t>
  </si>
  <si>
    <t>LID TURNBURY MG/BWL 1500 COUNT</t>
  </si>
  <si>
    <t>LID FOR SWIRL BOWL 5 OUNCE CLEAR 1000 COUNT</t>
  </si>
  <si>
    <t>LID TURNBURY 8 OUNCE MUG 1000 COUNT</t>
  </si>
  <si>
    <t>LID FOR DINEX SWIRL TUMBLER 1000 COUNT</t>
  </si>
  <si>
    <t>CROCK PLASTIC 1.2QT W/LID BEIGE 1 COUNT</t>
  </si>
  <si>
    <t>CAMCHILLER 12X20X1 BLUE 1 COUNT</t>
  </si>
  <si>
    <t>CROCK 2.7. QUART WITH LID BEIGE 1 COUNT</t>
  </si>
  <si>
    <t>SHELVING 24X48X72 4 SHELF 1 SET</t>
  </si>
  <si>
    <t>SHELVING 24X60X72 4 SHELF GRAY 1 SET</t>
  </si>
  <si>
    <t>SHELF WALL 18X48 SPECKLED GRAY 1 COUNT</t>
  </si>
  <si>
    <t>BOX PIZZA DOUGH 18X26X3 WHITE 1 COUNT</t>
  </si>
  <si>
    <t>LID PIZZA BOX 18X26 WHITE 1 COUNT</t>
  </si>
  <si>
    <t>CROCK DELI 5.QT 1 EACH</t>
  </si>
  <si>
    <t>CROCK DELI RED 4.9 QUART 1 COUNT</t>
  </si>
  <si>
    <t>CROCK DELI BLACK 2.2 QUART 1 COUNT</t>
  </si>
  <si>
    <t>CROCK DELI 2 QUART RED 1 EACH</t>
  </si>
  <si>
    <t>LID FOR DC110 CLEAR 1 EACH</t>
  </si>
  <si>
    <t>LID FOR DC5 CLEAR 1 EACH</t>
  </si>
  <si>
    <t>RACK S-SERIES DUNNAGE SLOTTED DARK BROWN 1 COUNT</t>
  </si>
  <si>
    <t>RACK DUNNAGE SLOTTED TOP DARK BROWN 1 COUNT</t>
  </si>
  <si>
    <t>RACK DUNNAGE SLOTTED 1500 CAPACITY 1 COUNT</t>
  </si>
  <si>
    <t>RACK DUNNAGE SLOTTED 3000 CAPACITY 1 COUNT</t>
  </si>
  <si>
    <t>RACK DUNNAGE SLOTTED TOP GRAY 1 COUNT</t>
  </si>
  <si>
    <t>DISPENSER BEVERAGE 6GAL WHITE 1 COUNT</t>
  </si>
  <si>
    <t>STATIONARY VENTED 4 SHELF STARTER KIT 1 COUNT</t>
  </si>
  <si>
    <t>RACK FULL FLATWARE 20X20X4 GRAY 1 COUNT</t>
  </si>
  <si>
    <t>TRAY PLASTIC 20 GLASS HOLDER 1 COUNT</t>
  </si>
  <si>
    <t>TUMBLER PLASTIC 10 OUNCE HUNTINGTON CLEAR 36 COUNT</t>
  </si>
  <si>
    <t>TUMBLER 12 HUNTINGTON CLEAR 3.75 36 COUNT</t>
  </si>
  <si>
    <t>TUMBLER PLASTIC 16 OUNCE HUNTINGTON 36 COUNT</t>
  </si>
  <si>
    <t>TUMBLER 22 OUNCE HUNTINGTON CLEAR PLASTIC 36 COUNT</t>
  </si>
  <si>
    <t>TUMBLER PLASTIC 8 OUNCE HUNTINGTON 36 COUNT</t>
  </si>
  <si>
    <t>BIN.INGREDIENT 32 GALLON 1 COUNT</t>
  </si>
  <si>
    <t>BIN INGREDIENT 21 GALLON 1 COUNT</t>
  </si>
  <si>
    <t>BIN INGREDIENT 27 GALLON WHITE PLASTIC 1 COUNT</t>
  </si>
  <si>
    <t>BIN. INGREDIENT 37 GALLON WHITE PLASTIC 1 COUNT</t>
  </si>
  <si>
    <t>LADLE CLEAR .75OZ 8.25 1 COUNT</t>
  </si>
  <si>
    <t>TUMBLER LAGUNA 10 OUNCE CLEAR 36 COUNT</t>
  </si>
  <si>
    <t>TUMBLER PLASTIC 12OZ LAGUNA CLEAR 36 COUNT</t>
  </si>
  <si>
    <t>TUMBLER LAGUNA PLASTIC 14 OUNCE CLEAR 36 COUNT</t>
  </si>
  <si>
    <t>TUMBLER PLASTIC 16OZ LAGUNA CLEAR 36 COUNT</t>
  </si>
  <si>
    <t>TUMBLER PLASTIC 22OZ LAGUNA CLEAR 36 COUNT</t>
  </si>
  <si>
    <t>TUMBLER LAGUNA 6 OUNCE CLEAR 36 COUNT</t>
  </si>
  <si>
    <t>TUMBLER PLASTIC 8 OUNCE LAGUNA CLEAR 36 COUNT</t>
  </si>
  <si>
    <t>SHORELINE BOWL 5 OUNCE BLACK 48 COUNT</t>
  </si>
  <si>
    <t>BOWL SMALL 5 OUNCE SHORELINE CRANBERRY 4 DOZEN</t>
  </si>
  <si>
    <t>BOWL SMALL 5 OUNCE SHORELINE NAVY BLUE 4 DOZEN</t>
  </si>
  <si>
    <t>BOWL LARGE 9OZ SHORELINE CRANBERRY 4 DOZEN</t>
  </si>
  <si>
    <t>BOWL LARGE 9 OUNCE SHORELINE NAVY BLUE 4 DOZEN</t>
  </si>
  <si>
    <t>SHORELINE INSULATED DOME BLACK 12 COUNT</t>
  </si>
  <si>
    <t>DOME INSULATED 9 FOR PLATE CRANBERRY 1 DOZEN</t>
  </si>
  <si>
    <t>DOME INSULATED 9 PLATE NAVY BLUE 1 DOZEN</t>
  </si>
  <si>
    <t>SHORELINE PELLET UNDERLINER BLACK 12 COUNT</t>
  </si>
  <si>
    <t>PELLETS UNDERLINER 9 1/2 INCHES CRANBERRY 1 DOZEN</t>
  </si>
  <si>
    <t>PELLETS UNDERLINER 9 1/2 INCHES NAVY BLUE 1 DOZEN</t>
  </si>
  <si>
    <t>SHORELINE MUG 8 OUNCE BLACK 48 COUNT</t>
  </si>
  <si>
    <t>MUG 8 OUNCE DIETARY CRANBERRY 4 DOZEN</t>
  </si>
  <si>
    <t>MUG 8 OUNCE DIETARY NAVY BLUE 4 DOZEN</t>
  </si>
  <si>
    <t>PELLETS THERMAL 9 1/2 INCHES DARK GREY 1 DOZEN</t>
  </si>
  <si>
    <t>PELLET LIFTER SHORELINE 1 COUNT</t>
  </si>
  <si>
    <t>TUMBLER NEWPORT ICE 10 OUNCE CLEAR 36 COUNT</t>
  </si>
  <si>
    <t>TUMBLER NEWPORT 12.6 OUNCE CLEAR 36 COUNT</t>
  </si>
  <si>
    <t>TUMBLER NEWPORT 22 OUNCE CLEAR 36 COUNT</t>
  </si>
  <si>
    <t>TUMBLER NEWPORT 6.4 OUNCE CLEAR 36 COUNT</t>
  </si>
  <si>
    <t>TUMBLER NEWPORT 7.7 OUNCE CLEAR 36 COUNT</t>
  </si>
  <si>
    <t>TUMBLER 9 OUNCE CLEAR NEWPORT 36 COUNT</t>
  </si>
  <si>
    <t>PITCHER PLASTIC 32 OUNCE CLEAR 1 COUNT</t>
  </si>
  <si>
    <t>PITCHER PLASTIC 48Z CLEAR RIBBED 1 COUNT</t>
  </si>
  <si>
    <t>PITCHER PLASTIC 60OZ CLEAR RIBBED 1 COUNT</t>
  </si>
  <si>
    <t>PITCHER PLASTIC 60 OUNCE AMBER RIBBED 1 COUNT</t>
  </si>
  <si>
    <t>PITCHER PLASTIC CAM-WARE 60 CLEAR 6 COUNT</t>
  </si>
  <si>
    <t>PITCHER PLASTIC 64OZ CAM-WARE 6 COUNT</t>
  </si>
  <si>
    <t>PITCHER CLEAR COVERED 64OZ PLASTIC 6 COUNT</t>
  </si>
  <si>
    <t>ECONOMY PITCHER POLYCARBONATE CLEAR 60OZ 1 EACH</t>
  </si>
  <si>
    <t>PITCHER LAGUNA 60OZ CLEAR PLASTIC 6 COUNT</t>
  </si>
  <si>
    <t>RACK PEG. GRAY 19.75X19.75 1 COUNT</t>
  </si>
  <si>
    <t>TRAY SCHOOL.10X14.5 NAVY 24 COUNT</t>
  </si>
  <si>
    <t>TRAY SCHOOL COMPARTMENT PENNY SAVER CRANBERRY 24 COUNT</t>
  </si>
  <si>
    <t>BOWL 10 INCH PEBBLED CAM-WARE ROUND 1 COUNT</t>
  </si>
  <si>
    <t>BOWL PLASTIC PEBBLE 12 INCH CAM-WARE 1 COUNT</t>
  </si>
  <si>
    <t>BOWL ROUND PEBBLED 15 11.2QT 1 COUNT</t>
  </si>
  <si>
    <t>BOWL PEBBLE CAM-WARE 18 1 COUNT</t>
  </si>
  <si>
    <t>BOWL ROUND PEBBLED 23 40QT 1 COUNT</t>
  </si>
  <si>
    <t>BOWL SALAD 6 CAM-WARE PEBBLED 12 COUNT</t>
  </si>
  <si>
    <t>BOWL PLASTIC PEBBLE CAM-WARE 8 INCH 1 COUNT</t>
  </si>
  <si>
    <t>TRAY PLASTIC ROUND 11 BROWN NON SLIP 1 COUNT</t>
  </si>
  <si>
    <t>TRAY PLASTIC ROUND 14 BROWN NON SLIP 1 COUNT</t>
  </si>
  <si>
    <t>TRAY PLASTIC ROUND 16 BROWN NON SLIP 1 COUNT</t>
  </si>
  <si>
    <t>PAIL 22 QRT WITH HANDLE AND BAIL PLASTIC 1 COUNT</t>
  </si>
  <si>
    <t>COVER RECTANGLE W/HINGE 12X20 1 COUNT</t>
  </si>
  <si>
    <t>CONTAINER ROUND 12 QUART WHITE POLYETHYLENE 1 COUNT</t>
  </si>
  <si>
    <t>CONTAINER ROUND 12 QUART TRANSLUCENT 1 COUNT</t>
  </si>
  <si>
    <t>CONTAINER STORAGE PLASTIC 18 QUART 1 COUNT</t>
  </si>
  <si>
    <t>CONTAINER PLASTIC 18 QUART TRANSLUCENT 1 COUNT</t>
  </si>
  <si>
    <t>CONTAINER ROUND WITH LID TRANSLUCENT SHRINK WRAP 1 QUART 4 CASE 3 COUNT</t>
  </si>
  <si>
    <t>CONTAINER PLASTIC ROUND 2 QUART WHITE 1 COUNT</t>
  </si>
  <si>
    <t>CONTAINER PLASTIC 22 QUART ROUND 1 COUNT</t>
  </si>
  <si>
    <t>CONTAINER PLASTIC 2 QUART ROUND TRANSLUCENT 1 COUNT</t>
  </si>
  <si>
    <t>CONTAINER PLASTIC ROUND 4 QUART WHITE 1 COUNT</t>
  </si>
  <si>
    <t>CONTAINER PLASTIC ROUND 4 QUART TRANSLUCENT 1 COUNT</t>
  </si>
  <si>
    <t>CONTAINER PLASTIC ROUND 6 QUART WHITE 1 COUNT</t>
  </si>
  <si>
    <t>CONTAINER PLASTIC ROUND 6 QUART TRANSLUCENT 1 COUNT</t>
  </si>
  <si>
    <t>CONTAINER PLASTIC 8 QUART ROUND WHITE 1 COUNT</t>
  </si>
  <si>
    <t>CONTAINER PLASTIC 8 QUART TRANSLUCENT 1 COUNT</t>
  </si>
  <si>
    <t>COVER CONTAINER PLASTIC WHITE ROUND 1 COUNT</t>
  </si>
  <si>
    <t>COVER CONTAINER ROUND PLASTIC TRANSLUCENT 1 COUNT</t>
  </si>
  <si>
    <t>COVER CONTAINER ROUND PLASTIC 2 4QT 1 COUNT</t>
  </si>
  <si>
    <t>COVER CONTAINER TRANSLUCENT 2 &amp; 4 QUART 1 COUNT</t>
  </si>
  <si>
    <t>COVER CONTAINER PLASTIC ROUND 6 QUART 1 COUNT</t>
  </si>
  <si>
    <t>LID PLASTIC TRANSLUCENT 6 &amp; 8 QUART 1 COUNT</t>
  </si>
  <si>
    <t>CONTAINER ROUND CLEAR ONE QUART 1 COUNT</t>
  </si>
  <si>
    <t>CONTAINER ROUND CLEAR 12 QUART 1 COUNT</t>
  </si>
  <si>
    <t>CONTAINER PLASTIC ROUND CLEAR 18 1 COUNT</t>
  </si>
  <si>
    <t>CONTAINER PLASTIC ROUND CLEAR 2 QUART 1 COUNT</t>
  </si>
  <si>
    <t>CONTAINER PLASTIC ROUND CLEAR 22 1 COUNT</t>
  </si>
  <si>
    <t>CONTAINER PLASTIC ROUND CLEAR 4 QUART 1 COUNT</t>
  </si>
  <si>
    <t>CONTAINER PLASTIC ROUND CLEAR 6 QUART 1 COUNT</t>
  </si>
  <si>
    <t>CONTAINER PLASTIC ROUND CLEAR 8 QUART 1 COUNT</t>
  </si>
  <si>
    <t>COVER CONTAINER PLASTIC CLEAR ONE QUART 1 COUNT</t>
  </si>
  <si>
    <t>COVER CONTAINER PLASTIC ROUND CLEAR 1 COUNT</t>
  </si>
  <si>
    <t>BOWL RIBBED RECTANGULAR BLACK 5QT 1 COUNT</t>
  </si>
  <si>
    <t>BOWL RECTANGULAR RIBBED 12 QUART BLACK 1 COUNT</t>
  </si>
  <si>
    <t>SCOOP 12 OUNCE CLEAR 1 COUNT</t>
  </si>
  <si>
    <t>SCOOP PLASTIC 24OZ CLEAR 1 COUNT</t>
  </si>
  <si>
    <t>SCOOP PLASTIC CLEAR 640Z 1 COUNT</t>
  </si>
  <si>
    <t>SCOOP PLASTIC CLEAR 6 OUNCE 1 COUNT</t>
  </si>
  <si>
    <t>COVER CONTAINER BLUE 12/18/22QT 1 COUNT</t>
  </si>
  <si>
    <t>SEAL COVER SQUARE 12 18 22QT 1 EACH</t>
  </si>
  <si>
    <t>COVER CONTAINER SQUARE GREEN 2/4QT 1 COUNT</t>
  </si>
  <si>
    <t>LID FITS 2&amp;4 QUART SQUARE 1 EACH</t>
  </si>
  <si>
    <t>COVER CONTAINER SQUARE WINTER ROSE 6/8Q 1 COUNT</t>
  </si>
  <si>
    <t>LID FITS 6&amp;8 QUART SQUARES 1 EACH</t>
  </si>
  <si>
    <t>BOWL SWIRL 5 OUNCE CLEAR 24 COUNT</t>
  </si>
  <si>
    <t>TONG PLASTIC POLYCARBONATE 6 BEIGE 1 COUNT</t>
  </si>
  <si>
    <t>TONG PLASTIC POLYCARBONATE 6 CLEAR 1 COUNT</t>
  </si>
  <si>
    <t>TONG PLASTIC POLYCARBONATE 9 BEIGE 1 COUNT</t>
  </si>
  <si>
    <t>PAN FOOD CARRIER 12X20 1 COUNT</t>
  </si>
  <si>
    <t>CARRIER PAN 60 QUART DARK BROWN 1 COUNT</t>
  </si>
  <si>
    <t>PAN CARRIER ULTRA DARK BROWN 1 COUNT</t>
  </si>
  <si>
    <t>DECAN PLASTIC ONE LITER W/LID 12 COUNT</t>
  </si>
  <si>
    <t>DECANTER BEVERAGE 1/4 LITER 6 12 COUNT</t>
  </si>
  <si>
    <t>PITCHER PLASTIC DECANTER W/LID 12 COUNT</t>
  </si>
  <si>
    <t>CARDINAL INTERNATIONAL</t>
  </si>
  <si>
    <t>EXCALIBUR GLASS FULLY TEMPERED MARTINI 10 OUNCE 1 DOZEN</t>
  </si>
  <si>
    <t>ARCADE BOWL 22 OUNCE 6 3 DOZEN</t>
  </si>
  <si>
    <t>ARCADE BOWL 11 OUNCE 5 INCH 12 DOZEN</t>
  </si>
  <si>
    <t>ISLANDE GLASS CORDIAL 2.25OZ 4 DOZEN</t>
  </si>
  <si>
    <t>ROC SOUP/SALAD PLATE 9 1/8 3 DOZEN</t>
  </si>
  <si>
    <t>ROC DINNER PLATE 9 1/8 3 DOZEN</t>
  </si>
  <si>
    <t>ROC SALAD PLATE 7 1/2 3 DOZEN</t>
  </si>
  <si>
    <t>ROC PLATE BREAD 6 3 DOZEN</t>
  </si>
  <si>
    <t>ROC COMPOTE 5 1/2 10 OUNCE 6 DOZEN</t>
  </si>
  <si>
    <t>ROC BOWL 4 3/8 10 OUNCE 3 DOZEN</t>
  </si>
  <si>
    <t>EXCALIBUR GLASS ALL PURPOSE GOBLET 14 OUNCE 2 DOZEN</t>
  </si>
  <si>
    <t>RECEPTION BOWL BONE WHITE MULTI USAGE 15 OZ 2 DOZEN</t>
  </si>
  <si>
    <t>ISLANDE GLASS WHISKEY 3.25 OUNCE 4 DOZEN</t>
  </si>
  <si>
    <t>GLASS CERVOISE GOBLET 16.5 OUNCE 2 DOZEN</t>
  </si>
  <si>
    <t>GLASS CERVOISE GOBLET 10.5OZ 2 DOZEN</t>
  </si>
  <si>
    <t>FLEUR COMPOTE 10 OUNCE 5 3/4 INCHES 4 DOZEN</t>
  </si>
  <si>
    <t>EXCALIBUR GLASS MARTINI 7.5 OUNCE 1 DOZEN</t>
  </si>
  <si>
    <t>STACK SALAD BOWL 10 INCH 144OZ 6 COUNT</t>
  </si>
  <si>
    <t>CABERNET GLASS ROCKS 10.5OZ 3 DOZEN</t>
  </si>
  <si>
    <t>STACK SALAD BOWL 39 OUNCE 2 DOZEN</t>
  </si>
  <si>
    <t>GLASS CAPRI GOBLET 11.25 OUNCE 3 DOZEN</t>
  </si>
  <si>
    <t>GLASS CAPRI TALL WINE 11.5 OUNCE 1 DOZEN</t>
  </si>
  <si>
    <t>GLASS CASABLANCA ROCKS 9 OUNCE 3 DOZEN</t>
  </si>
  <si>
    <t>GLASS ARTISAN LINE TEXTURED 16OZ 1 DOZEN</t>
  </si>
  <si>
    <t>GLASS ARTISAN CIRCLE TEXTURED 16 OUNCE 1 DOZEN</t>
  </si>
  <si>
    <t>GLASS ARTISAN ASSORTED TEXTURED 16 OUNCE 1 DOZEN</t>
  </si>
  <si>
    <t>GLASS CAPRI BEER 12.5OZ 3 DOZEN</t>
  </si>
  <si>
    <t>RECEPTION SAUCER BONE WHITE 6 1/4 3 DOZEN</t>
  </si>
  <si>
    <t>ISLANDE GLASS OLD FASHIONED 8.5 OUNCE 4 DOZEN</t>
  </si>
  <si>
    <t>EXCALIBUR GLASS ICED TEA 16.5 OUNCE 2 DOZEN</t>
  </si>
  <si>
    <t>CAPRI GLASS WINE 11.5 OUNCE 1 DOZEN</t>
  </si>
  <si>
    <t>RESTAURANT WHITE CUP 8 OUNCE 3 DOZEN</t>
  </si>
  <si>
    <t>CABERNET GLASS PORT. 4 OUNCE 2 DOZEN</t>
  </si>
  <si>
    <t>EXCALIBUR GLASS MARGARITA 12 OUNCE 1 DOZEN</t>
  </si>
  <si>
    <t>GLASS MIXING COOLER 14 OUNCE 2 DOZEN</t>
  </si>
  <si>
    <t>CABERNET GLASS DOUBLE OLD FASHIONED 14OZ 1 DOZEN</t>
  </si>
  <si>
    <t>CABERNET GLASS COOLER 17 OUNCE 1 DOZEN</t>
  </si>
  <si>
    <t>GLASS PUB FULLY TEMPERED 16 OUNCE 2 DOZEN</t>
  </si>
  <si>
    <t>GLASS GRAND PILSNER 23 OUNCE 2 DOZEN</t>
  </si>
  <si>
    <t>ISLANDE GLASS OLD FASHIONED 10 OUNCE 4 DOZEN</t>
  </si>
  <si>
    <t>EXCALIBUR GLASS BEVERAGE 16 OUNCE 3 DOZEN</t>
  </si>
  <si>
    <t>EXCALIBUR GLASS BEVERAGE 12.5OZ 3 DOZEN</t>
  </si>
  <si>
    <t>EXCALIBUR GLASS HIGH BALL 11 OUNCE 3 DOZEN</t>
  </si>
  <si>
    <t>EXCALIBUR GLASS HIGH BALL 10.5OZ 3 DOZEN</t>
  </si>
  <si>
    <t>EXCALIBUR GLASS HIGH BALL 9OZ 3 DOZEN</t>
  </si>
  <si>
    <t>EXCALIBUR GLASS HIGH BALL 8 OUNCE 3 DOZEN</t>
  </si>
  <si>
    <t>EXCALIBUR GLASS HIGH BALL 6 OUNCE 3 DOZEN</t>
  </si>
  <si>
    <t>EXCALIBUR GLASS OLD FASHIONED 10.5OZ 3 DOZEN</t>
  </si>
  <si>
    <t>EXCALIBUR GLASS OLD FASHIONED 9 OUNCE 3 DOZEN</t>
  </si>
  <si>
    <t>EXCALIBUR GLASS OLD FASHIONED 7 OUNCE 3 DOZEN</t>
  </si>
  <si>
    <t>GLASS CASABLANCA BEVERAGE 14 OUNCE 3 DOZEN</t>
  </si>
  <si>
    <t>RESTAURANT WHITE PLATE 6 2 DOZEN</t>
  </si>
  <si>
    <t>RESTAURANT WHITE RIM SOUP 23 OUNCE 2 DOZEN</t>
  </si>
  <si>
    <t>RESTAURANT WHITE PLATE 7 1/2 2 DOZEN</t>
  </si>
  <si>
    <t>EXCALIBUR GLASS COCKTAIL 5 OUNCE 3 DOZEN</t>
  </si>
  <si>
    <t>RESTAURANT WHITE OVAL PLATTER 11 3/4 INCHES 2 DOZEN</t>
  </si>
  <si>
    <t>PILSNER GLASS LINZ 13.5OZ 2 DOZEN</t>
  </si>
  <si>
    <t>RESTAURANT WHITE CUP 7.5 OUNCE 4 DOZEN</t>
  </si>
  <si>
    <t>PILSNER GLASS LINZ 23 OUNCE 2 DOZEN</t>
  </si>
  <si>
    <t>RESTAURANT WHITE FRUIT 3 DOZEN</t>
  </si>
  <si>
    <t>RESTAURANT WHITE GRAPEFRUIT BOWL 7 OUNCE 3 DOZEN</t>
  </si>
  <si>
    <t>RESTAURANT WHITE BOWL DOUBLE HANDLED 2 DOZEN</t>
  </si>
  <si>
    <t>ROOM TUMBLER 8 3/4 OUNCE 3 DOZEN</t>
  </si>
  <si>
    <t>GLASS CAPRI BANQUET GOBLET 10 OUNCE 3 DOZEN</t>
  </si>
  <si>
    <t>GLASS CASABLANCA ROCKS 4 3/4 OUNCE 3 DOZEN</t>
  </si>
  <si>
    <t>GLASS CAPRI FLUTE 7.25 OUNCE 1 DOZEN</t>
  </si>
  <si>
    <t>ISLANDE GLASS COOLER 13 OUNCE 4 DOZEN</t>
  </si>
  <si>
    <t>ISLAND GLASS HIGH BALL 11 OUNCE 4 DOZEN</t>
  </si>
  <si>
    <t>GLASS IMPERIAL PLUS WINE 6.5 OUNCE 2 DOZEN</t>
  </si>
  <si>
    <t>GRANITE GLASS BEVERAGE 12 OUNCE 3 DOZEN</t>
  </si>
  <si>
    <t>GRANITE GLASS BEVERAGE 14 OUNCE 3 DOZEN</t>
  </si>
  <si>
    <t>GRANITE GLASS BEVERAGE 16 OUNCE 3 DOZEN</t>
  </si>
  <si>
    <t>GRANITE GLASS COOLER 22 OUNCE 2 DOZEN</t>
  </si>
  <si>
    <t>RESTAURANT WHITE BOWL STACKING 10.5OZ 3 DOZEN</t>
  </si>
  <si>
    <t>ALE/PUB GLASSES TUMBLER NONIC 10 OUNCE 4 DOZEN</t>
  </si>
  <si>
    <t>GLASS MIXING 16 OUNCE 2 DOZEN</t>
  </si>
  <si>
    <t>CABERNET GLASS HIGH BALL 7.75 OUNCE 4 DOZEN</t>
  </si>
  <si>
    <t>CABERNET GLASS GOBLET 19 3/4 OUNCE 2 DOZEN</t>
  </si>
  <si>
    <t>CABERNET GLASS TALL WINE 16 OUNCE 2 DOZEN</t>
  </si>
  <si>
    <t>CABERNET GLASS TALL WINE 12 OUNCE 2 DOZEN</t>
  </si>
  <si>
    <t>CABERNET GLASS TALL WINE 8.5 OZ 2 DOZEN</t>
  </si>
  <si>
    <t>CABERNET GLASS BALLON WINE 24 OUNCE 2 DOZEN</t>
  </si>
  <si>
    <t>CABERNET GLASS BALLON WINE 16 OUNCE 2 DOZEN</t>
  </si>
  <si>
    <t>CABERNET GLASS BALLON WINE 12 OUNCE 2 DOZEN</t>
  </si>
  <si>
    <t>CABERNET GLASS BALLON WINE 20 OUNCE 2 DOZEN</t>
  </si>
  <si>
    <t>CABERNET GLASS CORDIAL 2.5 OUNCE 4 DOZEN</t>
  </si>
  <si>
    <t>RECEPTION PLATE BONE WHITE 10 5/8 2 DOZEN</t>
  </si>
  <si>
    <t>RECEPTION PLATE BONE WHITE 9 3/8 2 DOZEN</t>
  </si>
  <si>
    <t>RECEPTION PLATE RIM SOUP BONE WHITE 15 OZ 2 DOZEN</t>
  </si>
  <si>
    <t>RECEPTION PLATE BONE WHITE 6 1/8 2 DOZEN</t>
  </si>
  <si>
    <t>RECEPTION PLATE SALAD / DESSERT BONE WHITE 2 DOZEN</t>
  </si>
  <si>
    <t>RECEPTION CUP STACKING BONE WHITE 8 OUNCE 3 DOZEN</t>
  </si>
  <si>
    <t>CABERNET GLASS FLUTE 5 3/4 OUNCE 2 DOZEN</t>
  </si>
  <si>
    <t>RECEPTION MUG BONE WHITE 10 OUNCE 3 DOZEN</t>
  </si>
  <si>
    <t>GLASS CASABLANCA ROCKS 7 OUNCE 3 DOZEN</t>
  </si>
  <si>
    <t>ISLAND GLASS HIGH BALL 10 OUNCE 4 DOZEN</t>
  </si>
  <si>
    <t>FLEUR SOUP/SALAD PLATE 8 INCH 3 DOZEN</t>
  </si>
  <si>
    <t>GLASS CASABLANCA ROCKS 8.25 OUNCE 3 DOZEN</t>
  </si>
  <si>
    <t>ALE/PUB GLASSES TUMBLER NONIC 20 OUNCE 4 DOZEN</t>
  </si>
  <si>
    <t>ARCADE BOWL 4 5 1/2 OUNCE 3 DOZEN</t>
  </si>
  <si>
    <t>RESTAURANT WHITE BOWL MULTI USAGE 15 OUNCE 2 DOZEN</t>
  </si>
  <si>
    <t>CABERNET GLASS TALL WINE 10.5OZ 2 DOZEN</t>
  </si>
  <si>
    <t>EXCALIBUR GRAND SAVOIE 15.5 OUNCE 2 DOZEN</t>
  </si>
  <si>
    <t>GLASS CINCIN TALL BEER 14Z 2 DOZEN</t>
  </si>
  <si>
    <t>TULIP TUMBLER 16 OUNCE 2 DOZEN</t>
  </si>
  <si>
    <t>ARISTOCRAT TUMBLER 11 OUNCE 3 DOZEN</t>
  </si>
  <si>
    <t>ARCOROC BEER MUG SPORT GLASS 25 OUNCE 1 DOZEN</t>
  </si>
  <si>
    <t>ARTIC GLASS JUICE 6 OUNCE 4 DOZEN</t>
  </si>
  <si>
    <t>ARTIC GLASS BEVERAGE 12.5 OUNCE 4 DOZEN</t>
  </si>
  <si>
    <t>ARTIC GOBLET 10.5OZ 4 DOZEN</t>
  </si>
  <si>
    <t>ARTIC TUMBLER 10.5OZ 4 DOZEN</t>
  </si>
  <si>
    <t>ARTIC GLASS WINE 8 OUNCE 4 DOZEN</t>
  </si>
  <si>
    <t>CABERNET GLASS COCKTAIL 7.5 OUNCE 2 DOZEN</t>
  </si>
  <si>
    <t>RESTAURANT WHITE PLATE DINNER NARROW RIM 2 DOZEN</t>
  </si>
  <si>
    <t>CABERNET GLASS COCKTAIL 10 OUNCE 2 DOZEN</t>
  </si>
  <si>
    <t>SEABREEZE PLATE DESSERT 6 COUNT</t>
  </si>
  <si>
    <t>GLASS CASABLANCA HI-BALL 9.75 OUNCE 3 DOZEN</t>
  </si>
  <si>
    <t>GLASS CASABLANCA COOLER 12.75OZ 3 DOZEN</t>
  </si>
  <si>
    <t>GLASS CASABLANCA BEVERAGE 12.25 OUNCE 3 DOZEN</t>
  </si>
  <si>
    <t>EXCALIBUR GLASS GRAND BALLON 13 OUNCE 2 DOZEN</t>
  </si>
  <si>
    <t>EXCALIBUR GLASS ALL PURPOSE GOBLET 11 OUNCE 3 DOZEN</t>
  </si>
  <si>
    <t>EXCALIBUR GLASS BANQUET GOBLET 11.5 OZ 3 DOZEN</t>
  </si>
  <si>
    <t>EXCALIBUR GLASS BRANDY 12 OUNCE 2 DOZEN</t>
  </si>
  <si>
    <t>EXCALIBUR GRAND SAVOIE 12 OUNCE 2 DOZEN</t>
  </si>
  <si>
    <t>EXCALIBUR GLASS GRAND CUVEE 2 DOZEN</t>
  </si>
  <si>
    <t>EXCALIBUR GLASS BALLON WINE 8.5 OZ 3 DOZEN</t>
  </si>
  <si>
    <t>EXCALIBUR GLASS TALL WINE 10.5OZ 3 DOZEN</t>
  </si>
  <si>
    <t>EXCALIBUR GLASS TALL WINE 8.5 OUNCE 3 DOZEN</t>
  </si>
  <si>
    <t>EXCALIBUR GLASS FLUTE 5 3/4 OUNCE 3 DOZEN</t>
  </si>
  <si>
    <t>EXCALIBUR GLASS FOOTED HI-BALL 8 OUNCE 3 DOZEN</t>
  </si>
  <si>
    <t>EXCALIBUR GLASS PETITE CUVEE 13Z 2 DOZEN</t>
  </si>
  <si>
    <t>PLATTER MARINE MEDIUM FULLY TEMPERED 1 DOZEN</t>
  </si>
  <si>
    <t>EXCALIBUR GLASS COCKTAIL 10 OUNCE 1 DOZEN</t>
  </si>
  <si>
    <t>SHETLAND GLASS HI-BALL 14 OUNCE 4 DOZEN</t>
  </si>
  <si>
    <t>SHETLAND GLASS HI-BALL 12 OUNCE 4 DOZEN</t>
  </si>
  <si>
    <t>SHETLAND GLASS OLD FASHIONED 8.5 OUNCE 4 DOZEN</t>
  </si>
  <si>
    <t>GLASS CAPRI BRANDY 9 OUNCE 2 DOZEN</t>
  </si>
  <si>
    <t>GLASS CASABLANCA COOLER 16.25OZ 3 DOZEN</t>
  </si>
  <si>
    <t>GLASS CAPRI RED WINE 8 OUNCE 3 DOZEN</t>
  </si>
  <si>
    <t>ELEMENTAL HURRICANE 15 OUNCE 2 DOZEN</t>
  </si>
  <si>
    <t>SHOOTERS SHOT GLASS TALL SQUARE 2.75OZ 6 DOZEN</t>
  </si>
  <si>
    <t>CABERNET GLASS TULIPE 25.25Z 1 DOZEN</t>
  </si>
  <si>
    <t>CABERNET GLASS CHAMPAGNE FLUTE 8 OUNCE 2 DOZEN</t>
  </si>
  <si>
    <t>EXCALIBUR GLASS COCKTAIL 7.5 OUNCE 1 DOZEN</t>
  </si>
  <si>
    <t>ARTIC GLASS HI-BALL 10.5OZ 4 DOZEN</t>
  </si>
  <si>
    <t>FLEUR BOWL 70 OUNCE 9 4 COUNT</t>
  </si>
  <si>
    <t>PRYSM GLASS ROCKS 9 OUNCE 4 DOZEN</t>
  </si>
  <si>
    <t>SHETLAND GLASS OLD FASHIONED 10.5OZ 4 DOZEN</t>
  </si>
  <si>
    <t>CABERNET GLASS YOUNG WINE 12 OUNCE 2 DOZEN</t>
  </si>
  <si>
    <t>CABERNET GLASS YOUNG WINE 19.25Z 2 DOZEN</t>
  </si>
  <si>
    <t>CABERNET GLASS YOUNG WINE 16 OUNCE 2 DOZEN</t>
  </si>
  <si>
    <t>MILLESIME GLASS WINE 19 1/4 OUNCE 1 DOZEN</t>
  </si>
  <si>
    <t>MILLESIME GLASS WINE 15.75 OUNCE 2 DOZEN</t>
  </si>
  <si>
    <t>MILLESIME WINE 10.25 OUNCE 2 DOZEN</t>
  </si>
  <si>
    <t>ALE/PUB GLASSES TUMBLER NONIC 16 OUNCE 4 DOZEN</t>
  </si>
  <si>
    <t>BOWL FLEUR 32 OUNCE 7 6 COUNT</t>
  </si>
  <si>
    <t>BOWL STACK 1.25 OUNCE 3 DOZEN</t>
  </si>
  <si>
    <t>BOWL STACK 2 3/4 OUNCE 3 DOZEN</t>
  </si>
  <si>
    <t>BOWL STACK 5 OUNCE 3 DOZEN</t>
  </si>
  <si>
    <t>BOWL STACK 7 1/2 OUNCE 3 DOZEN</t>
  </si>
  <si>
    <t>BOWL STACK 12 OUNCE 3 DOZEN</t>
  </si>
  <si>
    <t>BOWL STACK 21 OUNCE 3 DOZEN</t>
  </si>
  <si>
    <t>EVERFROST GLASS HEAVY PUB 14OZ 2 DOZEN</t>
  </si>
  <si>
    <t>BOWL STACK 94 OUNCE 6 COUNT</t>
  </si>
  <si>
    <t>BOWL STACK 64 OUNCE 6 COUNT</t>
  </si>
  <si>
    <t>TENDENCY ZENIX PLATE 10 1/2 2 DOZEN</t>
  </si>
  <si>
    <t>CABERNET GLASS ICED TEA 16 OUNCE 2 DOZEN</t>
  </si>
  <si>
    <t>CABERNET GLASS ALL PURPOSE 13 1/2 OUNCE 2 DOZEN</t>
  </si>
  <si>
    <t>DARING ZENIX ACCESSORIES SAUCER LARGE DOUBLE WELL 6 2 DOZEN</t>
  </si>
  <si>
    <t>DARING ZENIX ACCESSORIES MUG 10 OUNCE 2 DOZEN</t>
  </si>
  <si>
    <t>DARING ZENIX ACCESSORIES DISH FRUIT 2 1/2 OUNCE 2 DOZEN</t>
  </si>
  <si>
    <t>PLATE DESSERT FLEUR 7 1/2 3 DOZEN</t>
  </si>
  <si>
    <t>TENDENCY ZENIX PLATE 12.25X10.5 1 DOZEN</t>
  </si>
  <si>
    <t>TENDENCY ZENIX PLATE 12 1/4 1 DOZEN</t>
  </si>
  <si>
    <t>INTENSITY ZENIX PLATE BANQUET 10 INCH 2 DOZEN</t>
  </si>
  <si>
    <t>INTENSITY ZENIX PLATE B&amp;B. 6 1/4 2 DOZEN</t>
  </si>
  <si>
    <t>INTENSITY ZENIX PLATE SERVICE 12 INCH 1 DOZEN</t>
  </si>
  <si>
    <t>INTENSITY ZENIX PLATE PASTA SOUP 11.75OZ 2 DOZEN</t>
  </si>
  <si>
    <t>INTENSITY ZENIX PLATE DINNER 10 3/4 INCHES 2 DOZEN</t>
  </si>
  <si>
    <t>INTENSITY ZENIX BOWL PASTA 38.75 OUNCE 1 DOZEN</t>
  </si>
  <si>
    <t>TENDENCY ZENIX PLATE DEEP 15 OUNCE 9 2 DOZEN</t>
  </si>
  <si>
    <t>INTENSITY ZENIX PLATTER OVAL 13.75X10 1 DOZEN</t>
  </si>
  <si>
    <t>LEAFEN PLATE 10 3/4 INCHES 1 DOZEN</t>
  </si>
  <si>
    <t>PRYSM GLASS COOLER 16 OUNCE 4 DOZEN</t>
  </si>
  <si>
    <t>FLEUR BOWL 10 1/2 OUNCE 5 INCH 2 DOZEN</t>
  </si>
  <si>
    <t>SOUFFLE MINI APPETIZER 3.25 OZ 2 DOZEN</t>
  </si>
  <si>
    <t>BOWL SQUARE DEEP APPETIZER 4.25 OUNCE 2 DOZEN</t>
  </si>
  <si>
    <t>PLATE SQUARE APPETIZER 3 5/8 2 DOZEN</t>
  </si>
  <si>
    <t>SPOON APPETIZER 4 1/8 2 DOZEN</t>
  </si>
  <si>
    <t>BOWL OVAL DEEP APPETIZER 2 OUNCE 2 DOZEN</t>
  </si>
  <si>
    <t>BOWL DEEP APPETIZER 5 OUNCE 2 DOZEN</t>
  </si>
  <si>
    <t>BOWL DEEP APPETIZER 4 OUNCE 2 DOZEN</t>
  </si>
  <si>
    <t>BOWL LOW ACID LUDICO APPETIZER 2 OUNCE 2 DOZEN</t>
  </si>
  <si>
    <t>BOWL WAVE RECTANGULAR APPETIZER 1/2 OUNCE 2 DOZEN</t>
  </si>
  <si>
    <t>BOWL APPETIZER WAVE TRIANGULAR ONE OUNCE 2 DOZEN</t>
  </si>
  <si>
    <t>BOWL APPETIZER RIM SQUARE 2.25 OZ OUNCE 2 DOZEN</t>
  </si>
  <si>
    <t>LATHAM FORK DINNER 1 DOZEN</t>
  </si>
  <si>
    <t>LATHAM KNIFE DINNER SOLID HANDLE 1 DOZEN</t>
  </si>
  <si>
    <t>LATHAM SPOON DESSERT 1 DOZEN</t>
  </si>
  <si>
    <t>LATHAM TEASPOON UNITED STATES 1 DOZEN</t>
  </si>
  <si>
    <t>LATHAM FORK SALAD UNITED STATES 1 DOZEN</t>
  </si>
  <si>
    <t>NUOVU FORK DINNER 8 1/4 1 DOZEN</t>
  </si>
  <si>
    <t>NUOVU KNIFE DINNER SOLID HANDLE 1 DOZEN</t>
  </si>
  <si>
    <t>NUOVU SPOON DESSERT 7 1/4 1 DOZEN</t>
  </si>
  <si>
    <t>CARLISLE FOODSERVICE PRODUCTS</t>
  </si>
  <si>
    <t>LID #342&amp;343 CROCK TRANSLUCENT 1 COUNT</t>
  </si>
  <si>
    <t>LADLE 9 1/2 INCHES PLAIN BLACK 1 COUNT</t>
  </si>
  <si>
    <t>LADLE 9 1/2 INCHES PLAIN BEIGE 1 COUNT</t>
  </si>
  <si>
    <t>CROCK CLASSIC WITH LID 1.2 QUART REDDISH BROWN 1 COUNT</t>
  </si>
  <si>
    <t>CROCK CLASSIC WITH LID 1.2 QUART BEIGE 1 COUNT</t>
  </si>
  <si>
    <t>CROCK CLASSIC WITH LID 1 COUNT</t>
  </si>
  <si>
    <t>CROCK CLASSIC WITH LID 2.7 OUNCE QUART BEIGE 1 COUNT</t>
  </si>
  <si>
    <t>LID 1.2 #341 CROCK TRANSLUCENT 1 EACH</t>
  </si>
  <si>
    <t>CROCK WITH LID CLASSIC BEIGE 1.5Q 1 COUNT</t>
  </si>
  <si>
    <t>CROCK PLASTIC WITH LID REDDISH BROWN 1.2QT 1 COUNT</t>
  </si>
  <si>
    <t>CROCK PLASTIC WITH LID BLACK 1.2QT 1 COUNT</t>
  </si>
  <si>
    <t>CROCK PLASTIC WITH LID BEIGE 1.2QT 1 COUNT</t>
  </si>
  <si>
    <t>CROCK PLASTIC WITH LID REDDISH BROWN 2.7QT 1 COUNT</t>
  </si>
  <si>
    <t>CROCK PLASTIC WITH LID BLACK 2.7QT 1 COUNT</t>
  </si>
  <si>
    <t>CROCK PLASTIC WITH LID BEIGE 2.7QT 1 COUNT</t>
  </si>
  <si>
    <t>CROCK PLASTIC WITH LID REDDISH BROWN 1.5QT 1 COUNT</t>
  </si>
  <si>
    <t>CROCK PLASTIC WITH LID BLACK 1.5QT 1 COUNT</t>
  </si>
  <si>
    <t>CROCK PLASTIC WITH LID BEIGE 1.5QT 1 COUNT</t>
  </si>
  <si>
    <t>RAMEKIN FLUTED PLASTIC 4.5OZ WHITE 48 COUNT</t>
  </si>
  <si>
    <t>RAMEKIN SMOOTH PLASTIC 2OZ WHITE 72 COUNT</t>
  </si>
  <si>
    <t>BAR MAT 12X18 BROWN 1 COUNT</t>
  </si>
  <si>
    <t>DISPENSER LIQUID PLASTIC BLACK BASE 3G 1 COUNT</t>
  </si>
  <si>
    <t>TUMBLER BRISTO CLEAR 5 OUNCE 12 DOZEN</t>
  </si>
  <si>
    <t>TUMBLER BISTRO CLEAR 8OZ 72 COUNT</t>
  </si>
  <si>
    <t>TUMBLER BRISTO CLEAR 10 OUNCE 6 DOZEN</t>
  </si>
  <si>
    <t>TUMBLER BRISTO CLEAR 12 OUNCE 6 DOZEN</t>
  </si>
  <si>
    <t>LADLE 9 1/2 INCHES BLUE CHEESE BLACK 1 COUNT</t>
  </si>
  <si>
    <t>LADLE 9 1/2 INCHES BLUE CHEESE BEIGE 1 COUNT</t>
  </si>
  <si>
    <t>TRAY GRIPLITE ROUND BLACK 14 1 COUNT</t>
  </si>
  <si>
    <t>TRAY GRIPLITE ROUND BLACK 16 1 COUNT</t>
  </si>
  <si>
    <t>DISPENSER 5GA ROUND W/BASE BLACK 1 COUNT</t>
  </si>
  <si>
    <t>LADLE 9 1/2 INCHES FRENCH BLACK 1 COUNT</t>
  </si>
  <si>
    <t>LADLE 9 1/2 INCHES FRENCH BEIGE 1 COUNT</t>
  </si>
  <si>
    <t>COVER 6 CAKE PIE HIGH CLEAR 1 COUNT</t>
  </si>
  <si>
    <t>SHELF BAR LINER 2X40' BLACK 1 COUNT</t>
  </si>
  <si>
    <t>LADLE 9 1/2 INCHES HOUSE BLACK 1 COUNT</t>
  </si>
  <si>
    <t>LADLE 9 1/2 INCHES HOUSE BEIGE 1 COUNT</t>
  </si>
  <si>
    <t>RACK ORDER ALUMINUM 1 EACH</t>
  </si>
  <si>
    <t>ORDER RACK SLIDE 1 EACH</t>
  </si>
  <si>
    <t>ORDER RACK SLIDE ALUMINUM 48 1 EACH</t>
  </si>
  <si>
    <t>BRUSH CARAFE BOTTLE 1 COUNT</t>
  </si>
  <si>
    <t>BRUSH HAND AND NAIL 5 INCH HANDLE 1 COUNT</t>
  </si>
  <si>
    <t>BRUSHES COFFEE URN NYLON 16 1 COUNT</t>
  </si>
  <si>
    <t>TONG SALAD 6 CLEAR 1 COUNT</t>
  </si>
  <si>
    <t>SQUEEGE SINGLE BLADE 12 INCH WINDOW 1 COUNT</t>
  </si>
  <si>
    <t>BRUSHES FRYER TEFLON BRISTLE 23 1 COUNT</t>
  </si>
  <si>
    <t>BRUSH TOILET NO SPLASH PLASTIC HANDLE 17 12 COUNT</t>
  </si>
  <si>
    <t>BRUSHES COFFEE MAKER PLASTIC NYLON 1 COUNT</t>
  </si>
  <si>
    <t>BRUSH VEGETABLE 8.75 WHITE 1 COUNT</t>
  </si>
  <si>
    <t>WOOD HANDLE MEDAL TIP 15/16D 1 COUNT</t>
  </si>
  <si>
    <t>BROILER STAINLESS STEEL BRISTLE 30 1 COUNT</t>
  </si>
  <si>
    <t>BRUSH PIZZA OVEN BRAS WIRE 1 COUNT</t>
  </si>
  <si>
    <t>BRUSH WIRE DOUBLE BROILER KING HANDLE 2 COUNT</t>
  </si>
  <si>
    <t>PADDLE SCRAPPER 40 NYLON WHITE 1 EACH</t>
  </si>
  <si>
    <t>BRUSHES BSTNG WOOD BOAR 12 INCH 1 COUNT</t>
  </si>
  <si>
    <t>BRUSHES PSTY WOOD BOAR BRISL 1 COUNT</t>
  </si>
  <si>
    <t>BRUSHES PSTY WOOD BOAR 2 1 COUNT</t>
  </si>
  <si>
    <t>BRUSH PASTRY WOOD BOAR BRISTLE 3 INCH 1 COUNT</t>
  </si>
  <si>
    <t>BRUSH PASTRY BOAR BRISTLE 4 1 COUNT</t>
  </si>
  <si>
    <t>BRUSHES 2 W/BOAR BRISKET HANGS 1 COUNT</t>
  </si>
  <si>
    <t>BRUSHES 3 INCH W/BOAR BRISL HANGS 1 COUNT</t>
  </si>
  <si>
    <t>BRUSHES PASTA ROUND 1 BOAR BRISTLE 1 COUNT</t>
  </si>
  <si>
    <t>BRUSH PSTY PLASTIC NYLON 2' 1 COUNT</t>
  </si>
  <si>
    <t>BRUSHES PSTY WHITE 3 INCH WIDE 1 COUNT</t>
  </si>
  <si>
    <t>BRUSHES PSTY PLASTIC NYLON 4 1 COUNT</t>
  </si>
  <si>
    <t>BRUSH PASTRY NYLON BRISTLE 1.5 1 COUNT</t>
  </si>
  <si>
    <t>BRUSHES PSTY WOOD NYLON BRISL 1 COUNT</t>
  </si>
  <si>
    <t>BRUSHES PSHTY WOOD NYLON BRISL 1 COUNT</t>
  </si>
  <si>
    <t>BRUSHES PASTA NYLON WOOD 4 1 COUNT</t>
  </si>
  <si>
    <t>BRUSH POTATO 1 COUNT</t>
  </si>
  <si>
    <t>BRUSHES TRIPLE GLASS WASHER 8 INCH 1 COUNT</t>
  </si>
  <si>
    <t>BRUSHES GLASS WASHER PLASTIC 7.5 1 COUNT</t>
  </si>
  <si>
    <t>BRUSH WHITE POLYESTER BRISTLE 8 INCH 1 COUNT</t>
  </si>
  <si>
    <t>BRUSH WIRE WITH SCRAPER 1 COUNT</t>
  </si>
  <si>
    <t>BRUSHES COFFEE URN GUAGE 1 COUNT</t>
  </si>
  <si>
    <t>WHIP FRENCH STAINLESS STEEL 36 1 COUNT</t>
  </si>
  <si>
    <t>TONG UTILITY 9 PLASTIC CLEAR 1 COUNT</t>
  </si>
  <si>
    <t>LADLE 9 1/2 INCHES ITALIAN BLACK 1 COUNT</t>
  </si>
  <si>
    <t>LADLE 9 1/2 INCHES ITALIAN BEIGE 1 COUNT</t>
  </si>
  <si>
    <t>MUG LEXINGTON 16OZ 12 COUNT</t>
  </si>
  <si>
    <t>SOLID SERVING SPOON 11 BLACK 1 COUNT</t>
  </si>
  <si>
    <t>SOLID SERVING SPOON 11 CLEAR 1 COUNT</t>
  </si>
  <si>
    <t>SPOON SERVING PERFORATED 11 BLACK 1 COUNT</t>
  </si>
  <si>
    <t>SPOON PERFORATED 11 SERVING CLEAR 1 COUNT</t>
  </si>
  <si>
    <t>SPOON SERVING SOLID BEIGE 13 1 COUNT</t>
  </si>
  <si>
    <t>SERVING SPOON PERFORATED HIGH HEAT BLACK 13 1 COUNT</t>
  </si>
  <si>
    <t>SPOON SALAD BUFFET 1/2OZ BLACK 1 COUNT</t>
  </si>
  <si>
    <t>SPOON SALAD BUFFET 1/2OZ BEIGE 1 COUNT</t>
  </si>
  <si>
    <t>SPOON SERVING SOLID 10 INCH BLACK 1 COUNT</t>
  </si>
  <si>
    <t>SPOON SERVING SOLID 10 INCH BEIGE 1 COUNT</t>
  </si>
  <si>
    <t>SPOON BOWL 10 3/4 OZ PERFORATED BLACK 1 EACH</t>
  </si>
  <si>
    <t>DISH DESSERT PLASTIC 5 OUNCE CLEAR TULIP 2 DOZEN</t>
  </si>
  <si>
    <t>DISH 5 OUNCE TULIP BERRY CLEAR 2 DOZEN</t>
  </si>
  <si>
    <t>DESSERT DISH PLASTIC 5 OUNCE TULIP CLEAR 2 DOZEN</t>
  </si>
  <si>
    <t>BRUSH CLEANING WITH PALMYRA BRISTLE 1 COUNT</t>
  </si>
  <si>
    <t>CADDY SUGAR 20 CAPACITY PLASTIC WHITE 24 COUNT</t>
  </si>
  <si>
    <t>CADDY SUGAR PLASTIC 20 PACKET BLACK 2 DOZEN</t>
  </si>
  <si>
    <t>SYRUP PITCHER CLEAR 2OZ NO HANDLE 36 COUNT</t>
  </si>
  <si>
    <t>CREAMER PITCHER 3OZ WHITE 36 COUNT</t>
  </si>
  <si>
    <t>CADDY W/3 JELLY JARS&amp;LID 1 SET</t>
  </si>
  <si>
    <t>SALAD TONG 6 CARLY REDDISH BROWN 1 COUNT</t>
  </si>
  <si>
    <t>TONG 6 SALAD PLASTIC BLACK 1 COUNT</t>
  </si>
  <si>
    <t>TONG 6 SALAD PLASTIC BEIGE 1 COUNT</t>
  </si>
  <si>
    <t>TONG 9 SALAD PLASTIC BLACK 1 COUNT</t>
  </si>
  <si>
    <t>TONG 9 SALAD PLASTIC BEIGE 1 COUNT</t>
  </si>
  <si>
    <t>TONG UTILITY SALAD PLASTIC BLACK 1 COUNT</t>
  </si>
  <si>
    <t>TONG UTILITY 9 SALAD PLASTIC BEIGE 1 COUNT</t>
  </si>
  <si>
    <t>TONG 12 INCH UTILITY PLASTIC BLACK 1 COUNT</t>
  </si>
  <si>
    <t>TONG 12 INCH UTILITY PLASTIC BEIGE 1 COUNT</t>
  </si>
  <si>
    <t>TONG POM. CARLY 6 BEIGE 1 COUNT</t>
  </si>
  <si>
    <t>BOWL SALAD 5.5 BLACK 03 1 DOZEN</t>
  </si>
  <si>
    <t>1     1    DZ</t>
  </si>
  <si>
    <t>BOWL SALAD 5.5 MAPLE 20 1 DOZEN</t>
  </si>
  <si>
    <t>SKIRTING CLASSIC TWILL 17'X29 WHITE 1 COUNT</t>
  </si>
  <si>
    <t>SKIRTING CLASSIC TWILL 17X29 BURGUNDY 1 COUNT</t>
  </si>
  <si>
    <t>TABLE COVER CLASSIC SERIES RED CHECK VINYL 1 ROLL</t>
  </si>
  <si>
    <t>TABLE COVER CLASSIC SERIES GAVIN CHECK RED 15 YARD 1 ROLL</t>
  </si>
  <si>
    <t>TABLE CUT VISA OXFORD WHITE 52X52 4 COUNT</t>
  </si>
  <si>
    <t>TABLE CUT VISA OXFORD WHITE 52X108 1 COUNT</t>
  </si>
  <si>
    <t>NAPKIN EMBASSY SIGNATURE WHITE 12 COUNT</t>
  </si>
  <si>
    <t>NAPKIN SOFTWEAVE 20X20 BURGUNDY 12 COUNT</t>
  </si>
  <si>
    <t>NAPKIN EMBASSY SIGNATURE FOREST GREEN 12 COUNT</t>
  </si>
  <si>
    <t>TUMBLER SAN STACKABLE 5 OUNCE CLEAR 2 DOZEN</t>
  </si>
  <si>
    <t>TUMBLER PEBBLE OPTIC CLEAR 9.5 OZ 2 DOZEN</t>
  </si>
  <si>
    <t>PITCHER CLEAR 60OZ WITH WINDOW 6 COUNT</t>
  </si>
  <si>
    <t>BOWL SALAD 6 BLACK 03 1 DOZEN</t>
  </si>
  <si>
    <t>BOWL SALAD 6MAPLE DOZEN 1 DOZEN</t>
  </si>
  <si>
    <t>SAUCE PAN DURA-KOOL 8.5 QUART 1 COUNT</t>
  </si>
  <si>
    <t>COVER PAN 10 INCH 1 COUNT</t>
  </si>
  <si>
    <t>COVER PAN 18 1 COUNT</t>
  </si>
  <si>
    <t>STEAM TABLE PAN STAINLESS STEEL FULL 4 1 COUNT</t>
  </si>
  <si>
    <t>PAN ADAPTOR BAR SUPER 20 1 COUNT</t>
  </si>
  <si>
    <t>STEAM TABLE PAN STAINLESS STEEL 1/2 2.5 1 COUNT</t>
  </si>
  <si>
    <t>STEAM TABLE PAN PERFORATED STAINLESS STEEL 1/2 4 1 COUNT</t>
  </si>
  <si>
    <t>PAN COVER SLOTTED 1/3 SIZE 1 COUNT</t>
  </si>
  <si>
    <t>PAN 1/3 SIZE 4 5.4 QUART 1 COUNT</t>
  </si>
  <si>
    <t>PAN ADAPTOR BAR SUPER 12 INCH 1 COUNT</t>
  </si>
  <si>
    <t>LADLE 9 1/2 INCHES THOUSAND ISLAND BLACK 1 COUNT</t>
  </si>
  <si>
    <t>LADLE 9 1/2 INCHES THOUSAND ISLAND BEIGE 1 COUNT</t>
  </si>
  <si>
    <t>BASKET ROUND WEAVEWEAR BLACK 12 COUNT</t>
  </si>
  <si>
    <t>PLATE SALAD SOUP 23.9OZ CLEAR 36 COUNT</t>
  </si>
  <si>
    <t>BOWL 9.7QT 15 DIAMETER CLEAR 1 COUNT</t>
  </si>
  <si>
    <t>BOWL 17.2QT 18 DIAMETER CLEAR 1 COUNT</t>
  </si>
  <si>
    <t>BOWL PETAL MIST BELL 3.4 QUART 4 COUNT</t>
  </si>
  <si>
    <t>TRAY PETAL MIST CLEAR 16X22 1 COUNT</t>
  </si>
  <si>
    <t>PLATE PETAL MIST 7.5 CLEAR 3 DOZEN</t>
  </si>
  <si>
    <t>BOWL SALAD 7.5 BLACK 03 1 DOZEN</t>
  </si>
  <si>
    <t>LADLE 9 1/2 INCHES LOW CALORIE BLACK 1 COUNT</t>
  </si>
  <si>
    <t>LADLE 9 1/2 INCHES LOW CALORIE BEIGE 1 COUNT</t>
  </si>
  <si>
    <t>BAR CADDY BLACK 1 COUNT</t>
  </si>
  <si>
    <t>POURER PORTION 1OZ RED/BLACK 1 DOZEN</t>
  </si>
  <si>
    <t>POURER PORTION ONE 1/4OZ CLEAR 1 DOZEN</t>
  </si>
  <si>
    <t>POURER PORTION ONE 1/2OZ YELLOW 1 DOZEN</t>
  </si>
  <si>
    <t>HEAT LAMP 2 BULB ADJUSTABLE 1 COUNT</t>
  </si>
  <si>
    <t>FLEXIGLOW HEAT LAMP WITH CARVING BOARD 1 COUNT</t>
  </si>
  <si>
    <t>PLATE 10 INCH 3COMP MELAMINE TAN 4 DOZEN</t>
  </si>
  <si>
    <t>BOWL NAPPY PLASTIC 14OZ WHITE 4 DOZEN</t>
  </si>
  <si>
    <t>BOWL NAPPY PLASTIC 14OZ TAN 4 DOZEN</t>
  </si>
  <si>
    <t>BOWL NAPPY PLASTIC 10OZ WHITE 4 DOZEN</t>
  </si>
  <si>
    <t>BOWL NAPPY PLASTIC 10OZ TAN 4 DOZEN</t>
  </si>
  <si>
    <t>PLATTER OVAL 12X9 TAN. KINGLINE 12 COUNT</t>
  </si>
  <si>
    <t>PLATE DINNER 9 NARROW RIM WHITE 4 DOZEN</t>
  </si>
  <si>
    <t>PLATE DINNER 9 NARROW RIM TAN. 4 DOZEN</t>
  </si>
  <si>
    <t>PLATE SAND/DES 7.25 NARROW RIM 4 DOZEN</t>
  </si>
  <si>
    <t>PLATE SANDWICH DESSERT 7.25TAN 4 DOZEN</t>
  </si>
  <si>
    <t>PLATE KINGLINE 3 COMPARTMENT 8.75 WHITE 1 DOZEN</t>
  </si>
  <si>
    <t>PLATE KINGLINE 3 COMPARTMENT 8.75 TAB 1 DOZEN</t>
  </si>
  <si>
    <t>PLATE PIE 6.5 NARROW RIM WHITE 4 DOZEN</t>
  </si>
  <si>
    <t>PLATE BREAD N BUTTER 5.5 NARROW RIM WHITE 4 DOZEN</t>
  </si>
  <si>
    <t>BOWL KINGLINE FRUIT 5 OUNCE 5 INCH WHITE 4 DOZEN</t>
  </si>
  <si>
    <t>BOWL FRUIT 4.75OZ KINGLINE WHITE 4 DOZEN</t>
  </si>
  <si>
    <t>BOWL FRUIT 4.75OZ KINGLINE TAN 4 DOZEN</t>
  </si>
  <si>
    <t>POURER FREE FLOW RED 1 DOZEN</t>
  </si>
  <si>
    <t>POURER FREE FLOW BLACK REGULAR POURER 1 DOZEN</t>
  </si>
  <si>
    <t>POURER FREE POUR DISPENSER CHROME/BLACK COLLAR 1 DOZEN</t>
  </si>
  <si>
    <t>STORE'N POUR SPOUT ONLY ASSORTED 12 COUNT</t>
  </si>
  <si>
    <t>STORE'N POUR CAPS ONLY WHITE 1 COUNT</t>
  </si>
  <si>
    <t>BAR SERVICE PACK STORE'N POUR 1 SET</t>
  </si>
  <si>
    <t>STORE'N POUR QUART COMPLETE 1 COUNT</t>
  </si>
  <si>
    <t>CONTAINER QUART CONTAINER ONLY WHITE 1 COUNT</t>
  </si>
  <si>
    <t>STORE'N POUR HALF GALLON COMPLETE 1 COUNT</t>
  </si>
  <si>
    <t>CONTAINER BACKUP 1/2GL WITH LID 6 COUNT</t>
  </si>
  <si>
    <t>COVER DISPLAY END CUT 12X20 CLEAR 1 COUNT</t>
  </si>
  <si>
    <t>RAMEKIN FLUTED PLASTIC 2 OUNCE WHITE 48 COUNT</t>
  </si>
  <si>
    <t>RAMEKIN SMOOTH PLASTIC 4OZ WHITE 48 COUNT</t>
  </si>
  <si>
    <t>RAMEKIN FLUTED PLASTIC 4OZ BONE 48 COUNT</t>
  </si>
  <si>
    <t>ICE MOLD BASKET PLASTIC 1 COUNT</t>
  </si>
  <si>
    <t>MOLD ICE BRIDE &amp; GROOM 22X14X28 PLASTIC 1 COUNT</t>
  </si>
  <si>
    <t>COVER 18X26 CLEAR HINGED 1 COUNT</t>
  </si>
  <si>
    <t>PUNCH BOWL WITH BASE 15QT PLASTIC CLEAR 1 COUNT</t>
  </si>
  <si>
    <t>MOLD ICE SWAN PLASTIC 19X12X21 1 COUNT</t>
  </si>
  <si>
    <t>DISPENSER TOOTHPICK PLASTIC CLEAR 1 COUNT</t>
  </si>
  <si>
    <t>POURER POUR RITE MEDIUM FREE FLOW CHROME 1 DOZEN</t>
  </si>
  <si>
    <t>CELLUCAP MANUFACTURING</t>
  </si>
  <si>
    <t>COVER SHOESTRING BLUE POLYPROPYLENE NONSKID 150 PAIR</t>
  </si>
  <si>
    <t>SHOE COVER NON CONDUCTIVE BLUE POLYPROPYLENE 3 CASE 50 PAIR</t>
  </si>
  <si>
    <t>COVER SHOESTRING BLUE POLYPROPYLENE 3 CASE 50 PAIR</t>
  </si>
  <si>
    <t>CAP BOUFFANT 21 INCH DISPOSABLE WHITE 10 CASE 100 COUNT</t>
  </si>
  <si>
    <t>BOUFFANT CAP. 21 INCH FLAT PACK WHITE 10 CASE 100 COUNT</t>
  </si>
  <si>
    <t>BOUFFANT WHITE FLAT PACK 24 10 CASE 100 COUNT</t>
  </si>
  <si>
    <t>BEARD RESTRAINT NON-DRY WOVEN 10 CASE 100 COUNT</t>
  </si>
  <si>
    <t>HAT CHEF 7 LE CLASSIC FULLY FORMED 12 COUNT</t>
  </si>
  <si>
    <t>HAT CHEF 9 LE CLASSIC FULLY FORMED 12 COUNT</t>
  </si>
  <si>
    <t>HAT CHEF 10 INCH LE CLASSIC FULLY FORMED 12 COUNT</t>
  </si>
  <si>
    <t>HAIRNET NYLON BLACK DISPOSABLE 28 INCH 10 CASE 144 COUNT</t>
  </si>
  <si>
    <t>HAIRNET NYLON DARK BROWN DISPOSABLE 28 INCH 10 CASE 144 COUNT</t>
  </si>
  <si>
    <t>CAP. OVERSEAS CROWN GREEN STRIPE 10 CASE 100 COUNT</t>
  </si>
  <si>
    <t>OVERSEAS CAP LOW PROFILE WHITE 10 CASE 100 COUNT</t>
  </si>
  <si>
    <t>CFI-E&amp;S/NF CATALOGS</t>
  </si>
  <si>
    <t>DISPOSABLE CATALOG DOT LOGO 1 COUNT</t>
  </si>
  <si>
    <t>CURRENTLY</t>
  </si>
  <si>
    <t>AVAILABLE</t>
  </si>
  <si>
    <t>CATALOG GENERIC 1 1 COUNT</t>
  </si>
  <si>
    <t>NON.FOOD CATALOG GENERIC 2 1 COUNT</t>
  </si>
  <si>
    <t>CHEF REVIVAL</t>
  </si>
  <si>
    <t>GLOVE DISWASH 19 LARGE 1 PAIR</t>
  </si>
  <si>
    <t>1     1    PR</t>
  </si>
  <si>
    <t>GLOVE POT.&amp; SINK MEDIUM 1 PAIR</t>
  </si>
  <si>
    <t>BIB.APRON 30X34 WHITEYS 1 DOZEN</t>
  </si>
  <si>
    <t>BIB APRON PENCIL POCKET WHITE 34X34 1 DOZEN</t>
  </si>
  <si>
    <t>BIB. APRON 30X34 BURGUNDY 1 DOZEN</t>
  </si>
  <si>
    <t>BIB. APRON 30X34 BLACK 1 DOZEN</t>
  </si>
  <si>
    <t>BIB. APRON 30X34 GREEN 1 DOZEN</t>
  </si>
  <si>
    <t>BIB. APRON 30X34 NAVY 1 DOZEN</t>
  </si>
  <si>
    <t>BIB APRON SIDE POCKET ROYAL BLUE 1 DOZEN</t>
  </si>
  <si>
    <t>BIB. APRON 30X34 RED 1 DOZEN</t>
  </si>
  <si>
    <t>FRONT BIB APRON 3 POCKET 27X25 BURGUNDY 1 DOZEN</t>
  </si>
  <si>
    <t>FRONT BIB APRON 3PO27X25 BLACK 1 DOZEN</t>
  </si>
  <si>
    <t>FRONT BIB APRON 3 POCKET 27X25 NGRN 1 DOZEN</t>
  </si>
  <si>
    <t>FRONT BIB APRON 3 POCKET 27X25 NAVY BLUE 1 DOZEN</t>
  </si>
  <si>
    <t>FRONT BIB APRON 3 POCKET ROYAL BLUE 27X25 1 DOZEN</t>
  </si>
  <si>
    <t>FRONT BIB APRON 3 POCKET 27X25 RED 1 DOZEN</t>
  </si>
  <si>
    <t>APRON 4 WAY WHITE 34X34 1 DOZEN</t>
  </si>
  <si>
    <t>BIB APRON VINYL 25X28 DARK BROWN 1 EACH</t>
  </si>
  <si>
    <t>36+</t>
  </si>
  <si>
    <t>APRON WAIST 12X24 POCKET BURGUNDY 1 DOZEN</t>
  </si>
  <si>
    <t>APRON WAIST 12X24 POCKET BLACK 1 DOZEN</t>
  </si>
  <si>
    <t>APRON WAIST 12X24 POCKET HUNTER GREEN 1 DOZEN</t>
  </si>
  <si>
    <t>APRON WAIST 12X24 POCKET NAVY BLUE 1 DOZEN</t>
  </si>
  <si>
    <t>APRON WAIST 12X24 POCKET RED 1 DOZEN</t>
  </si>
  <si>
    <t>APRON BISTRO 2 POCKET BLACK 1 DOZEN</t>
  </si>
  <si>
    <t>APRON BIB. COTTON WHITE 12 COUNT</t>
  </si>
  <si>
    <t>APRON VINYL DISHWASHING 36X45 CLEAR 1 DOZEN</t>
  </si>
  <si>
    <t>APRON INDUSTRIAL WHITE 20MIL VINYL 1 DOZEN</t>
  </si>
  <si>
    <t>APRON BIB. NEOPRENE 36X43 BLACK 1 COUNT</t>
  </si>
  <si>
    <t>BAR MOP 24OZ TERRY RIBBED 1 DOZEN</t>
  </si>
  <si>
    <t>TOWEL RIBBED BAR MOP 17X20 WHITE 1 DOZEN</t>
  </si>
  <si>
    <t>TOWEL BAR BLUE STRIPED 16X19 1 DOZEN</t>
  </si>
  <si>
    <t>TOWEL BAR MOP TERRY CLOTH 17X20 WHITE 1 DOZEN</t>
  </si>
  <si>
    <t>TOWEL HERBONE15X26 1 DOZEN</t>
  </si>
  <si>
    <t>TOWELS HERRINGBONE 20X28 1 DOZEN</t>
  </si>
  <si>
    <t>TOWEL FLOUR SACK 22X37 1 DOZEN</t>
  </si>
  <si>
    <t>TOWEL MULTI STRIPE 15X26 1 DOZEN</t>
  </si>
  <si>
    <t>CLOTH WAFFLE WEAVE DISH 13X15 1 DOZEN</t>
  </si>
  <si>
    <t>OVEN MITT BEST 13 PAIRS 1 PAIR</t>
  </si>
  <si>
    <t>OVEN MITT BEST GUARD 15 TAN ONE SIZE FITS ALL 1 PAIR</t>
  </si>
  <si>
    <t>OVEN MITT BESTGUARD OVEN MITT 1 PAIR</t>
  </si>
  <si>
    <t>OVEN MITT BEST GUARD 17 TAN.1S 1 PAIR</t>
  </si>
  <si>
    <t>OVEN MITT FREEZER SILICONE 15 ONE SIZE FITS ALL 1 PAIR</t>
  </si>
  <si>
    <t>OVEN MITT FREEZER SILICONE 17 ONE SIZE FITS ALL 1 PAIR</t>
  </si>
  <si>
    <t>POT.HOLDER SILCONE 7X7 1 DOZEN</t>
  </si>
  <si>
    <t>POT HOLDER BEST GUARD TERRY 8X8 1 DOZEN</t>
  </si>
  <si>
    <t>POT HOLDER TERRY CLOTH 8X8 BROWN 1 DOZEN</t>
  </si>
  <si>
    <t>PAN GRABBER WRIST STRAP 8.5X11 1 DOZEN</t>
  </si>
  <si>
    <t>HANDLE HOLDER BEST GUARD 3X6.5 1 DOZEN</t>
  </si>
  <si>
    <t>OVEN MITT TEFLON 13 ONE SIZE FITS ALL 1 PAIR</t>
  </si>
  <si>
    <t>OVEN MITT TEFLON 17 ONE SIZE FITS ALL 1 PAIR</t>
  </si>
  <si>
    <t>POT HOLDER TEFLON 7 1 DOZEN</t>
  </si>
  <si>
    <t>OVEN MITT TERRY CLOTH HEAVY DUTY 17 1 PAIR</t>
  </si>
  <si>
    <t>48+</t>
  </si>
  <si>
    <t>POT HOLDER TERRY CLOTH 10X11 1 DOZEN</t>
  </si>
  <si>
    <t>OVEN MITTS TERRY 24 1 PAIR</t>
  </si>
  <si>
    <t>PAN GRIPPER W/5 POCKET 1 DOZEN</t>
  </si>
  <si>
    <t>GLOVES POT&amp;SINK 14 1 PAIR</t>
  </si>
  <si>
    <t>POT&amp;SINK DISHWASHING GLOVE 18 1 PAIR</t>
  </si>
  <si>
    <t>SHIRT WHITE SIZE LARGE 1 EACH</t>
  </si>
  <si>
    <t>SHIRT WHITE SIZE MEDIUM 1 EACH</t>
  </si>
  <si>
    <t>SHIRT WHITE SIZE EXTRA LARGE 1 EACH</t>
  </si>
  <si>
    <t>CARRIER FOOD LARGE BURGUNDY 1 COUNT</t>
  </si>
  <si>
    <t>CHEESE CLOTH 36X80 GRADE 10 1 EACH</t>
  </si>
  <si>
    <t>CLOTH CHEESE GRADE 10 RETAIL PACK 50 COUNT</t>
  </si>
  <si>
    <t>CHEESECLOTH 36X70 1 COUNT</t>
  </si>
  <si>
    <t>HAT WHITE CHEF'S CHOICE 13 TALL 1 EACH</t>
  </si>
  <si>
    <t>COAT DOUBLE BREASTED CHEF'S CHOICE LARGE 1 EACH</t>
  </si>
  <si>
    <t>COAT DOUBLE BREASTED CHEF'S CHOICE SIZE MEDIUM 1 EACH</t>
  </si>
  <si>
    <t>COAT CHEF'S CHOICE DOUBLE BREASTED XLARGE 1 EACH</t>
  </si>
  <si>
    <t>PANTS DRAW STRING BAGGY STYLE LARGE BLACK 1 COUNT</t>
  </si>
  <si>
    <t>PANTS CHEF BLACK BAGGY STYLE DRAWSTRINGS 1 COUNT</t>
  </si>
  <si>
    <t>PANTS DRAW STRING BAGGY STYLE EXTRA LARGE BLACK 1 COUNT</t>
  </si>
  <si>
    <t>PANTS SMALL CHECK SIZE LARGE 1 COUNT</t>
  </si>
  <si>
    <t>PANTS SIZE MEDIUM HOUNDSTOOTH CHECK 1 COUNT</t>
  </si>
  <si>
    <t>BAG PIZZA DELIVERY 20X20X12 1 COUNT</t>
  </si>
  <si>
    <t>BAG PIZZA 20X20X5 MAROON 1 EACH</t>
  </si>
  <si>
    <t>8+</t>
  </si>
  <si>
    <t>BAG PIZZA 24X24X5 MAROON 1 EACH</t>
  </si>
  <si>
    <t>CONTINENTAL MANUFACTURING</t>
  </si>
  <si>
    <t>HUSKY GREY PLASTIC 10 GALLON 1 EACH</t>
  </si>
  <si>
    <t>HUSKEE WHITE PLASTIC 10 GALLON 1 EACH</t>
  </si>
  <si>
    <t>LID HUSKEE GRAY PLASTIC 10 GALLON 1 EACH</t>
  </si>
  <si>
    <t>LID HUSKEE WHITE PLASTIC 10 GALLON 1 EACH</t>
  </si>
  <si>
    <t>KLEENE AIRE CABINET AIR FRESHENER 1 COUNT</t>
  </si>
  <si>
    <t>DEODORIZING NEUTRALIZER GELATIN GARDEN APPLE 12 COUNT</t>
  </si>
  <si>
    <t>AIR FRESHENER NAUTICAL MIST 7 OUNCE 1 DOZEN</t>
  </si>
  <si>
    <t>SIGN CAUTION WET FLOOR 12X26 1 COUNT</t>
  </si>
  <si>
    <t>WASTEBASKET RECTANGULAR 13 5/8Q BEIGE 1 EACH</t>
  </si>
  <si>
    <t>WASTEBASKET RECTANGULAR 13 5/8Q BLACK 1 EACH</t>
  </si>
  <si>
    <t>WASTEBASKET ROUND TOP PLASTIC BROWN 24 GALLON</t>
  </si>
  <si>
    <t>URINAL SCREEN FLORAL SCENT BLUE 12 EACH</t>
  </si>
  <si>
    <t>1    12    EA</t>
  </si>
  <si>
    <t>SCREEN URINAL WHITE WITH PINE SCENT 12 COUNT</t>
  </si>
  <si>
    <t>LID RECEPTACLE WASTE DROP 25 1 EACH</t>
  </si>
  <si>
    <t>SQUEEGEE FLOOR 18X2X.25 1 COUNT</t>
  </si>
  <si>
    <t>HUSKY GREY ROUND 20 GALLON 1 EACH</t>
  </si>
  <si>
    <t>HUSKEE WHITE 20 GALLON ROUND 1 EACH</t>
  </si>
  <si>
    <t>LID CONTAINER PLASTIC 20G. HUSKY GREY 1 EACH</t>
  </si>
  <si>
    <t>LID HUSKEE WHITE PLASTIC 20 GALLON 1 EACH</t>
  </si>
  <si>
    <t>4 SIDED CONE 35 1 COUNT</t>
  </si>
  <si>
    <t>SPLASH GUARD COMBO YELLOW 26 QUART 1 COUNT</t>
  </si>
  <si>
    <t>BUCKET MOP PLASTIC 26 QUART YELLOW 1 COUNT</t>
  </si>
  <si>
    <t>SQUEEGEE FLOOR 24 RUBBER BLADE 1 COUNT</t>
  </si>
  <si>
    <t>LINERS KRAFT PAPER FOR SANITARY RECEPTACLE 500 COUNT</t>
  </si>
  <si>
    <t>CONTAINER SANITARY NAPKIN FLIP TOP WALL MOUNT 1 COUNT</t>
  </si>
  <si>
    <t>RECEPTACLE 25 GALLON WASTE BEIGE 1 EACH</t>
  </si>
  <si>
    <t>WASTEBASKET RECTANGULAR PLASTIC 28 QUART BEIGE 1 EACH</t>
  </si>
  <si>
    <t>WASTEBASKET RECEPTACLE PLASTIC 28 QUART BLACK 1 EACH</t>
  </si>
  <si>
    <t>HUSKY CONTAINER 32G. BLUE RECYCLE 1 EACH</t>
  </si>
  <si>
    <t>HUSKEE GRAY PLASTIC 32 GALLON ROUND 1 EACH</t>
  </si>
  <si>
    <t>HUSKEE WHITE PLASTIC 32 GALLON ROUND 1 EACH</t>
  </si>
  <si>
    <t>LID HUSKEE GRAY PLASTIC 32 GALLON 1 EACH</t>
  </si>
  <si>
    <t>LID HUSKEE WHITE PLASTIC 32G. 1 EACH</t>
  </si>
  <si>
    <t>HUSKEE DOLLY CONVENTIONAL PLASTIC ROUND 18X5 1 EACH</t>
  </si>
  <si>
    <t>BUCKET &amp; WRINGER COMBO YELLOW 35 QUART 1 COUNT</t>
  </si>
  <si>
    <t>BUCKET WITH CASTER 35QT YELLOW 1 COUNT</t>
  </si>
  <si>
    <t>BUCKET MOP UNIBODY 35QT YELLOW 1 COUNT</t>
  </si>
  <si>
    <t>BUCKET MOP YELLOW 44 QUART 1 EACH</t>
  </si>
  <si>
    <t>WASTEBASKET PLASTIC 41.25 QUART BEIGE 1 EACH</t>
  </si>
  <si>
    <t>WASTEBASKET PLASTIC 41.25 QUART BLACK 1 EACH</t>
  </si>
  <si>
    <t>HAND TRUCK BLUE CASTER 55 GALLON 1 COUNT</t>
  </si>
  <si>
    <t>HUSKEE GRAY PLASTIC 44 GALLON ROUND 1 EACH</t>
  </si>
  <si>
    <t>HUSKEE WHITE PLASTIC 44 GALLON ROUND 1 EACH</t>
  </si>
  <si>
    <t>LID HUSKEE GRAY PLASTIC 44 GALLON 1 EACH</t>
  </si>
  <si>
    <t>LID HUSKEE WHITE PLASTIC 44 GALLON 1 EACH</t>
  </si>
  <si>
    <t>HOLDER MOP &amp; BROOM WALL MOUNT 18 GREY 1 COUNT</t>
  </si>
  <si>
    <t>STOOL STEP WITH WHEEL PLASTIC 1 COUNT</t>
  </si>
  <si>
    <t>BRUSH SWEEPER FLOOR &amp; CARPET ROTARY 1 COUNT</t>
  </si>
  <si>
    <t>SWEEPER FLOOR CARPET 10 INCH BLACK 1 COUNT</t>
  </si>
  <si>
    <t>HUSKEE GRAY PLASTIC 55 GALLON ROUND 1 EACH</t>
  </si>
  <si>
    <t>LID FITS 55 GALLON GREY 1 EACH</t>
  </si>
  <si>
    <t>DOME LID TOP. FOR 55 GALLON GRAY 1 EACH</t>
  </si>
  <si>
    <t>CART UTILITY PLASTIC BEIGE 2 SHELF 1 COUNT</t>
  </si>
  <si>
    <t>CART SWIVEL 3 SHELF BUS.4 1 COUNT</t>
  </si>
  <si>
    <t>CADDY SILVERWARE BLACK 2 COUNT</t>
  </si>
  <si>
    <t>CADDY TRASH BLACK 2 COUNT</t>
  </si>
  <si>
    <t>MOP HANDLE FIBERGLASS STIRRUP YELLOW BLUE 1 EACH</t>
  </si>
  <si>
    <t>MOP HANDLE FIBERGLASS WITH CLINCH JAW BLUE YELLOW 1 EACH</t>
  </si>
  <si>
    <t>MOP FIBERGLASS QUICK CHANGE ORANGE HANDLE 1 EACH</t>
  </si>
  <si>
    <t>PAN DUST INDUSTRIAL PLASTIC BLACK 1 DOZEN</t>
  </si>
  <si>
    <t>PAN DUST WIDE BLACK 12 COUNT</t>
  </si>
  <si>
    <t>LID FOR DROP SHOT 8322 1 EACH</t>
  </si>
  <si>
    <t>HANDLE MOP 64 QUICK CHANGE METAL 1 EACH</t>
  </si>
  <si>
    <t>BUCKET PLASTIC 10 QUART WITH SPOUT 1 EACH</t>
  </si>
  <si>
    <t>BUCKET PLASTIC 14 QUART WITH SPOUT 1 EACH</t>
  </si>
  <si>
    <t>PAIL DIVIDED PLASTIC WITH HANDLE GRAY 16 QUART 1 EACH</t>
  </si>
  <si>
    <t>CHANGE STATION BABY HORIZONTAL 1 COUNT</t>
  </si>
  <si>
    <t>RECEPTACLE WASTEBASKET HALF ROUND 1 EACH</t>
  </si>
  <si>
    <t>RECEPTACLE WASTE HALF ROUND GRAY 1 EACH</t>
  </si>
  <si>
    <t>WASTEBASKET 23 GALLON WALL HUGGER CONTAINER BROWN 1 COUNT</t>
  </si>
  <si>
    <t>WALL HUGGER CONTAINER 23 GAL. GRAY 1 COUNT</t>
  </si>
  <si>
    <t>RECEPTACLE CIGARETTE BEIGE URN CLASSIC 1 COUNT</t>
  </si>
  <si>
    <t>ASHTRAY SAND/URN CHROME BLACK 1 COUNT</t>
  </si>
  <si>
    <t>PLASTIC BOTTLE TRIGGER SPRAY RED 24OZ 3 EACH</t>
  </si>
  <si>
    <t>32+</t>
  </si>
  <si>
    <t>1     3    EA</t>
  </si>
  <si>
    <t>PAN DUST LOBBY VINYL COATED STEEL HANDLE BLACK 1 COUNT</t>
  </si>
  <si>
    <t>CABINET TOWEL CHROME COMBO 1 COUNT</t>
  </si>
  <si>
    <t>MOPHEAD J.W.ATOMIC LOOP GREEN MEDIUM 2 COUNT</t>
  </si>
  <si>
    <t>MOPHEAD ROUGH RIDER UTILITY FAN.MED 2 COUNT</t>
  </si>
  <si>
    <t>MOP HEAD BULLDOG N COTTON MEDIUM WIDE 2 COUNT</t>
  </si>
  <si>
    <t>MOP HEAD LOOP END 16 OUNCE 4 PLY SMALL NATURAL 12 COUNT</t>
  </si>
  <si>
    <t>MOP HEAD LOOP END 24 OZ 4 PLY MEDIUM NATURAL 12 COUNT</t>
  </si>
  <si>
    <t>MOP HEAD LOOP END 4 PLY 32 OUNCE LARGE NATURAL 12 COUNT</t>
  </si>
  <si>
    <t>MOPHEAD BULLDOG BLUE BLEND LOOP LARGE WIDE BAND 2 COUNT</t>
  </si>
  <si>
    <t>MOPHEAD STINGER COTTON CUT END 24 OUNCE 3 COUNT</t>
  </si>
  <si>
    <t>MOP HEAD ANTIMICROBIAL 4 PLY LARGE NATURAL 12 COUNT</t>
  </si>
  <si>
    <t>MOP HEAD RAYON 4PLY 24 OUNCE WHITE 12 COUNT</t>
  </si>
  <si>
    <t>MOPHEAD TEXRAY NO BAND 24 OUNCE 3 COUNT</t>
  </si>
  <si>
    <t>MOP GOGO BLEND BLUE 24 OUNCE 12 COUNT</t>
  </si>
  <si>
    <t>MOP LEADER YACHT WOOD HANDLE 24 OZ 6 COUNT</t>
  </si>
  <si>
    <t>MOP WOOD HANDLE 60 1 EACH</t>
  </si>
  <si>
    <t>HANDLE WOOD MOP PINNACLE 60 12 COUNT</t>
  </si>
  <si>
    <t>MOPHEAD STINGER COTTON CUT END #16 12 COUNT</t>
  </si>
  <si>
    <t>MOP HEAD CUT END 4 PLY #20 NATURAL 12 COUNT</t>
  </si>
  <si>
    <t>MOP HEAD CUT END 4 PLY #24 NATURAL 12 COUNT</t>
  </si>
  <si>
    <t>MOPHEAD STINGER COTTON CUT END NARROW BAND 24 3 COUNT</t>
  </si>
  <si>
    <t>MOPHEAD COTTON CUT END PINNACLE #24 3 COUNT</t>
  </si>
  <si>
    <t>MOP HEAD CUT END 4 PLY #32 NATURAL 12 COUNT</t>
  </si>
  <si>
    <t>MOPHEAD STINGER COTTON CUT END NARROW BAND 32 3 COUNT</t>
  </si>
  <si>
    <t>MOP HEAD COTTON CUT END PINNACLE #32 12 COUNT</t>
  </si>
  <si>
    <t>MOPHEAD RAYON CUT END PINNACLE #24 3 COUNT</t>
  </si>
  <si>
    <t>BROOM WAREHOUSE CORN BLEND 32# 6 COUNT</t>
  </si>
  <si>
    <t>BROOM HOUSEKEEPER CORN BLEND #24 6 COUNT</t>
  </si>
  <si>
    <t>BROOM CORN BLEND LOBBY 12 COUNT</t>
  </si>
  <si>
    <t>BROOM SYNTHETIC LOBBY 6 COUNT</t>
  </si>
  <si>
    <t>BROOM JANITOR CORN BLEND #28 6 COUNT</t>
  </si>
  <si>
    <t>BROOM ANGLED 9 BLACK METAL 12 COUNT</t>
  </si>
  <si>
    <t>BROOM LARGE ANGLE COMPLETE 12 COUNT</t>
  </si>
  <si>
    <t>BROOM HUSKEE HEAVY DUTY ANGLE SWEEP 6 COUNT</t>
  </si>
  <si>
    <t>BROOM PUSH 24 FINE 1 COUNT</t>
  </si>
  <si>
    <t>BROOM PUSH 24 MEDIUM 1 COUNT</t>
  </si>
  <si>
    <t>BROOM PUSH 24 HEAVY DUTY 1 COUNT</t>
  </si>
  <si>
    <t>DECK BRUSH 10 INCH WOOD POLYPROPYLENE BRISTLE 1 COUNT</t>
  </si>
  <si>
    <t>BRUSH SCRUB MULTI 1 COUNT</t>
  </si>
  <si>
    <t>TOILET BRUSH WOOD HANDLE POLYPROPYLENE 12 COUNT</t>
  </si>
  <si>
    <t>HANDLE WOOD THREADED 60 12 COUNT</t>
  </si>
  <si>
    <t>HANDLE WOOD 60 METAL THREADED 12 COUNT</t>
  </si>
  <si>
    <t>HANDLE WOOD TAPERED 60 12 COUNT</t>
  </si>
  <si>
    <t>WRINGER SPLASH GUARD SIDE PRESS YELLOW 1 COUNT</t>
  </si>
  <si>
    <t>WRINGER DOWNPRESS 16TO32OZ YELLOW 1 COUNT</t>
  </si>
  <si>
    <t>COOPER/ATKINS CORP.</t>
  </si>
  <si>
    <t>THERMOMETER POCKET TEST WITH ESPRESSO CLIP 1 EACH</t>
  </si>
  <si>
    <t>THERMOMETER POCKET 1 40 LOAD TO.180F 1 COUNT</t>
  </si>
  <si>
    <t>THERMOMETER POCKET 1 0 TO.220F 1 COUNT</t>
  </si>
  <si>
    <t>THERMOMETER POCKET 1 50 TO.550F 1 COUNT</t>
  </si>
  <si>
    <t>THERMOMETER OVEN 200 600F 24HP 1 COUNT</t>
  </si>
  <si>
    <t>THERMOMETER DIGITAL REFRIGERATOR/FREEZER WITH STAND 1 EACH</t>
  </si>
  <si>
    <t>THERMOMETER REFRIGERATOR/FREEZER 20 80F 25H 1 COUNT</t>
  </si>
  <si>
    <t>THERMOMETER FOR HOLDING CABINET 1 COUNT</t>
  </si>
  <si>
    <t>THERMOMETER GRILL SURFACE 1 COUNT</t>
  </si>
  <si>
    <t>THERMOMETER DEEP FRY CANDY 200 400F 1 COUNT</t>
  </si>
  <si>
    <t>THERMOMETER MEAT 130 190F 323 1 COUNT</t>
  </si>
  <si>
    <t>THERMOMETER 2.5 DIAL STEAM/KETTLE 1 EACH</t>
  </si>
  <si>
    <t>THERMOMETER REFRIGERATOR/FREEZER 40 LOAD 120F 1 COUNT</t>
  </si>
  <si>
    <t>THERMOMETER REFRIGERATOR/FREEZER 30 80F 335 1 COUNT</t>
  </si>
  <si>
    <t>THERMOMETER SLIMLINE INFRARED 1 COUNT</t>
  </si>
  <si>
    <t>THERMOMETER INFRA RED 7 230F 470 1 COUNT</t>
  </si>
  <si>
    <t>THERMOMETER INFRA RED WITH PROBE 67 626 1 COUNT</t>
  </si>
  <si>
    <t>THERMOMETER MILK COOLER 1 COUNT</t>
  </si>
  <si>
    <t>WIPE PROBE DISPENSER 10 CASE 200 EACH</t>
  </si>
  <si>
    <t>THERMOCOUPLE WITH PROBE 100. 999F 1 COUNT</t>
  </si>
  <si>
    <t>THERMOMETER DIGITAL WATERPROOF 1 COUNT</t>
  </si>
  <si>
    <t>THERMO DIGITAL 4 292F 1 COUNT</t>
  </si>
  <si>
    <t>DIGITAL POCKET TEST THERMOMETER 1 EACH</t>
  </si>
  <si>
    <t>THERMOMETER DIGITAL OVAL 40 LOAD 302 1 COUNT</t>
  </si>
  <si>
    <t>TIMER 24 HOUR LCD WITH MEMORY 1 COUNT</t>
  </si>
  <si>
    <t>TIMER 24 HOUR WITH CLOCK STOPWATCH 1 COUNT</t>
  </si>
  <si>
    <t>TIMER MULTI-SYMPTOM STATION 1 COUNT</t>
  </si>
  <si>
    <t>TIMER 60 MINUTE MECHANICAL LONG RINGS 1 COUNT</t>
  </si>
  <si>
    <t>CRAYOLA LLC</t>
  </si>
  <si>
    <t>CRAYON IN TUCK BOX 360 4 15 CASE 24 EACH</t>
  </si>
  <si>
    <t>CRAYOLA 4 COLOR 360 CASE 4 COUNT</t>
  </si>
  <si>
    <t>CRAYON BULK 4 COLOR CELLO 360 CASE 4 COUNT</t>
  </si>
  <si>
    <t>CRAYON 3 COLOR RED BLUE DANDELION WASHABLE 360 CASE 3 COUNT</t>
  </si>
  <si>
    <t>CRAYON CELLO PACK 240 CASE 3 COUNT</t>
  </si>
  <si>
    <t>CRAYON 64 COLOR CLASS PACK 13 CASE 64 COUNT</t>
  </si>
  <si>
    <t>CRAYON 4 COLOR RED YELLOW/ORANGE GREEN BLUE 4 CASE 750 COUNT</t>
  </si>
  <si>
    <t>CRAYON 8. COLOR 3000 COUNT</t>
  </si>
  <si>
    <t>D &amp; W FINE PACK</t>
  </si>
  <si>
    <t>ADVANTAGE KNIFE FORK NAPKIN SALT &amp;PEPPER HEAVY WEIGHT BLACK 500 COUNT</t>
  </si>
  <si>
    <t>SPECIAL RUN ADVANTAGE POLYPROPYLENE FORK  KNIFE  &amp; NAPKIN BLACK 500 COUNT</t>
  </si>
  <si>
    <t>ADVANTAGE KNIFE FORK NAPKIN SALT &amp;PEPPER POLYPROPYLENE BLACK 500 COUNT</t>
  </si>
  <si>
    <t>ELIT KNIFE FORK NAPKIN SALT &amp;PEPPER WHITE 250 COUNT</t>
  </si>
  <si>
    <t>ELIT KNIFE FORK NAPKIN SALT &amp;PEPPER WHITE 500 COUNT</t>
  </si>
  <si>
    <t>ADVANTAGE KNIFE FORK SPOON NAPKIN S&amp;P WHITE 250 COUNT</t>
  </si>
  <si>
    <t>ELITE FORK KNIFE SPOON KIT SALT &amp; PEPPER BLACK 250 COUNT</t>
  </si>
  <si>
    <t>ELIT KNIFE FORK NAPKIN SALT &amp;PEPPER SPOON WHITE 250 COUNT</t>
  </si>
  <si>
    <t>FORK KNIFE SPOON NAPKIN WHITE 250 COUNT</t>
  </si>
  <si>
    <t>ELIT SPOON FORK KNIFE WHITE 500 COUNT</t>
  </si>
  <si>
    <t>ADVANTAGE POLYPROPYLENE FORK BLACK 1000 COUNT</t>
  </si>
  <si>
    <t>ADVANTAGE POLYPROPYLENE FORK WHITE 1000 COUNT</t>
  </si>
  <si>
    <t>ADVANTAGE POLYPROPYLENE KNIFE WHITE 1000 COUNT</t>
  </si>
  <si>
    <t>ADVANTAGE POLYPROPYLENE SOUP SPOON BLACK 1000 COUNT</t>
  </si>
  <si>
    <t>ADVANTAGE POLYPROPYLENE SPOON BLACK 1000 COUNT</t>
  </si>
  <si>
    <t>ADVANTAGE POLYPROPYLENE SPOON WHITE 1000 COUNT</t>
  </si>
  <si>
    <t>CHALLENGER POLYPROPYLENE SPOON BEVERAGE RED 1000 COUNT</t>
  </si>
  <si>
    <t>CHALLENGER POLYPROPYLENE SPOON BEVERAGE WHITE 1000 COUNT</t>
  </si>
  <si>
    <t>CHALLENGER POLYPROPYLENE SPOON RED 1000 COUNT</t>
  </si>
  <si>
    <t>CHALLENGER POLYPROPYLENE SPOON WHITE 1000 COUNT</t>
  </si>
  <si>
    <t>CHALLENGER STYRENE SPOON WHITE 3000 COUNT</t>
  </si>
  <si>
    <t>ELITE POLYPROPYLENE DUO BLACK 1000 COUNT</t>
  </si>
  <si>
    <t>ELIT DUO NAPKIN STRAW WHITE 1000 COUNT</t>
  </si>
  <si>
    <t>ELITE POLYPROPYLENE DUO WHITE 1000 COUNT</t>
  </si>
  <si>
    <t>ELITE DUO WHITE POLYPROPYLENE 2000 COUNT</t>
  </si>
  <si>
    <t>ELITE POLYPROPYLENE FORK BLACK 1000 COUNT</t>
  </si>
  <si>
    <t>ELITE POLYPROPYLENE FORK WHITE MEDIUM WEIGHT 1000 COUNT</t>
  </si>
  <si>
    <t>ELITE POLYPROPYLENE SOUP SPOON WHITE 1000 COUNT</t>
  </si>
  <si>
    <t>ELITE POLYPROPYLENE SPOON BLACK 1000 COUNT</t>
  </si>
  <si>
    <t>ELITE POLYPROPYLENE SPOON WHITE 1000 COUNT</t>
  </si>
  <si>
    <t>WRAPPED ADVANTAGE POLYPROPYLENE FORK WHITE 1000 COUNT</t>
  </si>
  <si>
    <t>WRAPPED ADVANTAGE POLYPROPYLENE SOUP SPOON BLACK 1000 COUNT</t>
  </si>
  <si>
    <t>WRAPPED POLYPROPYLENE SPORK WHITE INDIVIDUALLY WRAPPED 1000 COUNT</t>
  </si>
  <si>
    <t>WRAPPED ELITE POLYPROPYLENE FORK BLACK 1000 COUNT</t>
  </si>
  <si>
    <t>WRAPPED ELITE POLYPROPYLENE FORK WHITE INDIVIDUALLY WRAPPED 1000 COUNT</t>
  </si>
  <si>
    <t>WRAPPED ELITE POLYPROPYLENE KNIFE BLACK 1000 COUNT</t>
  </si>
  <si>
    <t>WRAPPED ELITE POLYPROPYLENE KNIFE WHITE INDIVIDUALLY WRAPPED 1000 COUNT</t>
  </si>
  <si>
    <t>WRAPPED ELITE SOUP SPOON BLACK INDIVIDUALLY WRAPPED 1000 COUNT</t>
  </si>
  <si>
    <t>WRAPPED ELITE POLYPROPYLENE SOUP SPOON WHITE 1000 COUNT</t>
  </si>
  <si>
    <t>WRAPPED ELITE POLYPROPYLENE SPOON BLACK 1000 COUNT</t>
  </si>
  <si>
    <t>WRAPPED ELITE POLYPROPYLENE SPOON WHITE INDIVIDUALLY WRAPPED 1000 COUNT</t>
  </si>
  <si>
    <t>WRAPPED GIANT STRAWS BLACK 25 BAG 400 COUNT</t>
  </si>
  <si>
    <t>STRAW 8.5 GIANT TRANSLUCENT WRAPPED RED 16 CASE 450 COUNT</t>
  </si>
  <si>
    <t>STRAW 9 JUMBO WHITE W/ RED STRIPE 12 CASE 500 COUNT</t>
  </si>
  <si>
    <t>STRAW JUMBO WRAPPED 9RD BAG 12 CASE 500 COUNT</t>
  </si>
  <si>
    <t>STRAW WRAPPED 10.75 RED 4 CASE 300 COUNT</t>
  </si>
  <si>
    <t>WRAPPED GIANT STRAWS BLUE 9 4 BAG 300 COUNT</t>
  </si>
  <si>
    <t>STRAW GIANT RED 10.25 5 CASE 400 COUNT</t>
  </si>
  <si>
    <t>TREND DUO NAPKIN WHITE SALT &amp; PEPPER 250 COUNT</t>
  </si>
  <si>
    <t>UNWRAPPED STIRRER BLACK 5.25 10 CASE 1000 COUNT</t>
  </si>
  <si>
    <t>UNWRAPPED STIRRER RED 5.25 10 CASE 1000 COUNT</t>
  </si>
  <si>
    <t>STRAW UNWRAPPED 7.75 GIANT BLACK 4 CASE 300 COUNT</t>
  </si>
  <si>
    <t>UNWRAPPED GIANT STRAWS WITH RED STRIPE 24 BAG 300 COUNT</t>
  </si>
  <si>
    <t>STRAW JUMBO UNWRAPPED 5.75 BLACK 50 CASE 250 COUNT</t>
  </si>
  <si>
    <t>JUMBO UNWRAPPED STRAWS BLACK 7.75 10 BAG 500 COUNT</t>
  </si>
  <si>
    <t>JUMBO UNWRAPPED STRAWS CLEAR 7.75 24 BOX 500 COUNT</t>
  </si>
  <si>
    <t>JUMBO UNWRAPPED STRAWS WHITE WITH RED STRIPE 7.75 24 BAG 500 COUNT</t>
  </si>
  <si>
    <t>UNWRAPPED STIRRER COFFEE STRIPED 7 10 CASE 1000 COUNT</t>
  </si>
  <si>
    <t>UNWRAPPED STIRRER BROWN 5 INCH 10 CASE 1000 COUNT</t>
  </si>
  <si>
    <t>UNWRAPPED STIRRER COFFEE 5 INCH 10 CASE 1000 COUNT</t>
  </si>
  <si>
    <t>UNWRAPPED STIRRER COFFEE 5 INCH 10 CASE 750 COUNT</t>
  </si>
  <si>
    <t>STIRRER SLIM RED 7.75 10 CASE 500 COUNT</t>
  </si>
  <si>
    <t>STIRRER SLIM BLACK UNWRAPPED 7.75 10 CASE 500 COUNT</t>
  </si>
  <si>
    <t>WRAPPED FLEXIBLE STRAWS WHITE 7.625 25 CASE 400 COUNT</t>
  </si>
  <si>
    <t>WRAPPED 7.75 GIANT STRAW CLEAR 25 CASE 300 COUNT</t>
  </si>
  <si>
    <t>WRAPPED GIANT STRAWS WITH RED STRIPE 7.75 25 CASE 300 COUNT</t>
  </si>
  <si>
    <t>WRAPPED GIANT STRAWS RED 25 CASE 300 COUNT</t>
  </si>
  <si>
    <t>WRAPPED JUMBO STRAWS CLEAR 10 CASE 500 COUNT</t>
  </si>
  <si>
    <t>WRAPPED JUMBO STRAWS BLACK 7.75 INCH 10 CASE 500 COUNT</t>
  </si>
  <si>
    <t>WRAPPED JUMBO STRAWS CLEAR 7.75 INCH 10 CASE 500 COUNT</t>
  </si>
  <si>
    <t>WRAPPED JUMBO STRAWS CLEAR 24 CASE 500 COUNT</t>
  </si>
  <si>
    <t>WRAPPED JUMBO STRAWS CLEAR 7.75 4 CASE 500 COUNT</t>
  </si>
  <si>
    <t>WRAPPED JUMBO STRAWS WITH RED STRIPE 7.75 24 CASE 500 COUNT</t>
  </si>
  <si>
    <t>WRAPPED MILKSTRAW SLIM WHITE 5.75 24 CASE 500 COUNT</t>
  </si>
  <si>
    <t>WRAPPED JUMBO STRAWS CLEAR 4 CASE 500 COUNT</t>
  </si>
  <si>
    <t>STRAW JUMBO CLEAR 10 INCH WRAPPED 12 CASE 500 COUNT</t>
  </si>
  <si>
    <t>WRAPPED JUMBO STRAWS WITH RED STRIPE 10.25 4 CASE 500 COUNT</t>
  </si>
  <si>
    <t>STRAW GIANT CLEAR 10 INCH 4 CASE 300 COUNT</t>
  </si>
  <si>
    <t>STRAW 10 INCH GIANT WHITE WRAPPED 4 CASE 300 COUNT</t>
  </si>
  <si>
    <t>WRAPPED STRAWS GIANT RED 10.25 4 CASE 300 COUNT</t>
  </si>
  <si>
    <t>WRAPPED GIANT STRAWS RED 12 INCH 4 CASE 300 COUNT</t>
  </si>
  <si>
    <t>WRAPPED 7 SLIM RED STIRRER 10 CASE 500 COUNT</t>
  </si>
  <si>
    <t>WRAPPED STRAWS SLIM RED 8 INCH 10 CASE 500 COUNT</t>
  </si>
  <si>
    <t>ADVANTAGE FORK KNIFE KIT BLACK 250 COUNT</t>
  </si>
  <si>
    <t>ADVANTAGE FORK KNIFE KIT NAPKIN SALT &amp; PEPPER BLACK 250 COUNT</t>
  </si>
  <si>
    <t>ADVANTAGE KNIFE FORK SPOON NAPKIN S&amp;P BLACK 250 COUNT</t>
  </si>
  <si>
    <t>ADVANTAGE STYRENE KNIFE BLACK 1000 COUNT</t>
  </si>
  <si>
    <t>ADVANTAGE STYRENE KNIFE WHITE 1000 COUNT</t>
  </si>
  <si>
    <t>ADVANTAGE STYRENE SPOON 1000 COUNT</t>
  </si>
  <si>
    <t>WRAPPED ADVANTAGE STYRENE FORK BLACK INDIVIDUALLY WRAPPED 1000 COUNT</t>
  </si>
  <si>
    <t>DAYMARK FOOD SAFETY SYSTEMS</t>
  </si>
  <si>
    <t>LABEL 3/4X3/4 MONDAY 12/1000 COUNT</t>
  </si>
  <si>
    <t>LABEL TUESDAY 3/4X3/4 12/1000 COUNT</t>
  </si>
  <si>
    <t>LABEL WEDNESDAY 3/4X3/4 12/1000 COUNT</t>
  </si>
  <si>
    <t>LABEL THURSDAY 3/4X3/4 12/1000 COUNT</t>
  </si>
  <si>
    <t>LABEL FRIDAY 3/4X3/4 12/1000 COUNT</t>
  </si>
  <si>
    <t>LABEL SATURDAY 3/4X3/4 12/1000 COUNT</t>
  </si>
  <si>
    <t>LABEL SUNDAY 3/4X3/4 12/1000 COUNT</t>
  </si>
  <si>
    <t>LABEL 2X4 REMOVABLE CLOCK 12 COUNT</t>
  </si>
  <si>
    <t>LABEL MONDAY 3/4 INCHES CIRCLE 12/2000 COUNT</t>
  </si>
  <si>
    <t>LABEL TUESDAY 3/4 INCHES CIRCLES 12/2000 COUNT</t>
  </si>
  <si>
    <t>LABEL WEDNESDAY 3/4 INCHES CIRCLES 12/2000 COUNT</t>
  </si>
  <si>
    <t>LABEL THURSDAY 3/4 INCHES CIRCLES 12/2000 COUNT</t>
  </si>
  <si>
    <t>LABEL FRIDAY 3/4 INCHES CIRCLES 12/2000 COUNT</t>
  </si>
  <si>
    <t>LABEL SATURDAY 3/4 INCHES CIRCLES 12/2000 COUNT</t>
  </si>
  <si>
    <t>LABEL SUNDAY 3/4 INCHES CIRCLES 12/2000 COUNT</t>
  </si>
  <si>
    <t>LABEL MONDAY 1 OCTAGON TRILING 12/1000 COUNT</t>
  </si>
  <si>
    <t>LABEL 1 OCTAGON TUESDAY TRILING 12/1000 COUNT</t>
  </si>
  <si>
    <t>LABEL WEDNESDAY 1 OCTAGON TRILING 12/1000 COUNT</t>
  </si>
  <si>
    <t>LABEL THURSDAY 1 OCTAGON TRILIN 12/1000 COUNT</t>
  </si>
  <si>
    <t>LABEL FRIDAY 1 OCTAGON TRILING 12/1000 COUNT</t>
  </si>
  <si>
    <t>LABEL SATURDAY 1 OCTAGON TRILING 12/1000 COUNT</t>
  </si>
  <si>
    <t>LABEL SUNDAY 1 OCTAGON TRILING 12/1000 COUNT</t>
  </si>
  <si>
    <t>LABEL 2X4 USE BY SHELF LIFE 12/125 COUNT</t>
  </si>
  <si>
    <t>LABEL 1X2 USE BY 12/500 COUNT</t>
  </si>
  <si>
    <t>LABEL USE BY SHELF LIFE 2X3 12/125 COUNT</t>
  </si>
  <si>
    <t>LINER THIRD &amp; QUARTER STEAM PAN 4 CASE 250 COUNT</t>
  </si>
  <si>
    <t>LABEL 1 CIRCLES BILINGUAL BOXED MONDAY 12/1000 COUNT</t>
  </si>
  <si>
    <t>LABEL 1 CIRCLES BILINGUAL BOXED TUESDAY 12/1000 COUNT</t>
  </si>
  <si>
    <t>LABEL 1 CIRCLES BILINGUAL BOXED WEDNESDAY 12/1000 COUNT</t>
  </si>
  <si>
    <t>LABEL 1 CIRCLES BILINGUAL BOX THURSDAY 12/1000 COUNT</t>
  </si>
  <si>
    <t>LABEL 1 CIRCLES BILINGUAL BOX FRIDAY 12/1000 COUNT</t>
  </si>
  <si>
    <t>LABEL 1 CIRCLES BILINGUAL BOX SATURDAY 12/1000 COUNT</t>
  </si>
  <si>
    <t>LABEL CIRCLES BILINGUAL BOX SUNDAY 12/1000 COUNT</t>
  </si>
  <si>
    <t>LABEL MONDAY BLUE DM3 ONE.LINE 8/1000 COUNT</t>
  </si>
  <si>
    <t>LABEL TUESDAY YELLOW DM3 ONE.LNE 8/1000 COUNT</t>
  </si>
  <si>
    <t>LABEL WEDNESDAY RED DM3 ONE.LNE 8/1000 COUNT</t>
  </si>
  <si>
    <t>LABEL THURSDAY BROWN DM3 ONE LINE 8/1000 COUNT</t>
  </si>
  <si>
    <t>LABEL FRIDAY GREEN DM3 ONE.LINE 8/1000 COUNT</t>
  </si>
  <si>
    <t>LABEL SATURDAY ORANGE DM3 ONE LINE 8/1000 COUNT</t>
  </si>
  <si>
    <t>LABEL SUNDAY BLACK DM3 ONE LINER 8/1000 COUNT</t>
  </si>
  <si>
    <t>LABEL DM. 3 ONE. LINER WHITE 8/1000 COUNT</t>
  </si>
  <si>
    <t>LABEL DOME 3 ONE LINE RADIANT PINK 8/1000 COUNT</t>
  </si>
  <si>
    <t>LABEL DM3 ONE LINER 8/1000 COUNT</t>
  </si>
  <si>
    <t>DISPENSER 7 SLOT 1 COUNT</t>
  </si>
  <si>
    <t>RACK CLEAR ACRYLIC HOLDS 7 BOXED 1 COUNT</t>
  </si>
  <si>
    <t>GUN LABEL DM3 BLACK PLASTIC 1 COUNT</t>
  </si>
  <si>
    <t>LABEL 1 DOT. BOX 7 DAY STARTER KIT 7/500 COUNT</t>
  </si>
  <si>
    <t>LABEL 1 STARTER KIT DOT. BOX 7 DAY 7/1000 COUNT</t>
  </si>
  <si>
    <t>LABEL SHELF LIFE MONDAY 2X2 12/250 COUNT</t>
  </si>
  <si>
    <t>LABEL 2X2 SHELF LIFE TUESDAY 12/250 COUNT</t>
  </si>
  <si>
    <t>LABEL 2X2 SHELF LIFE WEDNESDAY 12/250 COUNT</t>
  </si>
  <si>
    <t>LABEL 2X2 SHELF LIFE THURSDAY 12/250 COUNT</t>
  </si>
  <si>
    <t>LABEL 2X2 SHELF LIFE FRIDAY 12/250 COUNT</t>
  </si>
  <si>
    <t>LABEL 2X2 SHELF LIFE SATURDAY 12/250 COUNT</t>
  </si>
  <si>
    <t>LABEL 2X2 SHELF LIFE SUNDAY 12/250 COUNT</t>
  </si>
  <si>
    <t>BAG PASTRY 18 GRIP2GO 100 COUNT</t>
  </si>
  <si>
    <t>1   100    CNT</t>
  </si>
  <si>
    <t>BAG PASTRY 21 INCH GRIP2GO POLY 100 COUNT</t>
  </si>
  <si>
    <t>KIT FIRST AID 1 COUNT</t>
  </si>
  <si>
    <t>KIT FIRST AID SMALL 1 COUNT</t>
  </si>
  <si>
    <t>KIT BURN CARE FAK 1 COUNT</t>
  </si>
  <si>
    <t>GUEST CHECK NO CARBON 2 PART GREEN 50 CASE 40 COUNT</t>
  </si>
  <si>
    <t>GUEST CHECK NO CARBON 2 PART W/YL 50 CASE 100 COUNT</t>
  </si>
  <si>
    <t>GUEST CHECK DELIVERY FORM NO CARBON 3 PART 50 CASE 50 COUNT</t>
  </si>
  <si>
    <t>TAPE PAPER CASH 1 PLY 2.25 50/165FT COUNT</t>
  </si>
  <si>
    <t>GUEST CHECK SALESBOOK 2 PART CARBON 50 CASE 100 COUNT</t>
  </si>
  <si>
    <t>TAPE PAPER CASH 1 PLY 3 165 FEET 30 COUNT</t>
  </si>
  <si>
    <t>PAPER CASH TAPE 165 FEET 44MM 50 COUNT</t>
  </si>
  <si>
    <t>GUEST CHECK BOND 1 PART 3.4X6.7 100 CASE 100 COUNT</t>
  </si>
  <si>
    <t>PAPER TAPE THERMAL 3.13 200 FEET 30 COUNT</t>
  </si>
  <si>
    <t>GUEST CHECK BOND 1 PART GREEN 100 CASE 100 COUNT</t>
  </si>
  <si>
    <t>GUEST CHECK BOND 1 PART GREEN 100 CASE 50 COUNT</t>
  </si>
  <si>
    <t>GUEST CHECK BOARD 1 PART GREEN 50 CASE 50 COUNT</t>
  </si>
  <si>
    <t>GUEST CHECK BOARD 1 PART GREEN 50 CASE 40 COUNT</t>
  </si>
  <si>
    <t>GUEST CHECK NO CARBON 2 PART GREEN 2000 COUNT</t>
  </si>
  <si>
    <t>GUEST CHECK 3 PART CARBONLESS GREEN 8 CASE 250 COUNT</t>
  </si>
  <si>
    <t>GUEST CHECK CARBON 2 PART GREEN ON BOND BOARD 2500 COUNT</t>
  </si>
  <si>
    <t>GUEST CHECK 2 PART GREEN CARBON 50 CASE 50 COUNT</t>
  </si>
  <si>
    <t>GUEST CHECK NO CARBON 2 PART GREEN 50 CASE 50 COUNT</t>
  </si>
  <si>
    <t>GUEST CHECK BOARD 1 PART PINK 50 CASE 50 COUNT</t>
  </si>
  <si>
    <t>GUEST CHECK NO CARBON 2 PART TAB 8 CASE 250 COUNT</t>
  </si>
  <si>
    <t>GUEST CHECK NO CARBON 3 PART TAN ON WHITE 8 CASE 250 COUNT</t>
  </si>
  <si>
    <t>GUEST CHECK CARBONLESS 2 PART TAN ON WHITE 8 CASE 250 COUNT</t>
  </si>
  <si>
    <t>DEXTER RUSSELL</t>
  </si>
  <si>
    <t>SHARPENING STEEL 12 INCH 1 EACH</t>
  </si>
  <si>
    <t>TROWL HAMBURGER 4X5 1 EACH</t>
  </si>
  <si>
    <t>FORK DEXTER COOKS FOR 12 INCH 1 EACH</t>
  </si>
  <si>
    <t>SHARPENER 3ROD CERAMIC KNIFE 1 COUNT</t>
  </si>
  <si>
    <t>SLICER CONNOISSEUR DUO EDGE 12 INCH 1 EACH</t>
  </si>
  <si>
    <t>KNIFE CONNOISSEUR COOKS 10 INCH 1 EACH</t>
  </si>
  <si>
    <t>TURNER HAMBURGER 4X3 1 EACH</t>
  </si>
  <si>
    <t>TURNER HEAVY DUTY HAMBURGER 5X4 1 EACH</t>
  </si>
  <si>
    <t>TURNER 6X5 HAMBURGER 1 EACH</t>
  </si>
  <si>
    <t>SHARPENER KNIFE 12 INCH BUTCHER 1 EACH</t>
  </si>
  <si>
    <t>CUTLERY CASE ONLY BLACK 7PC 1 COUNT</t>
  </si>
  <si>
    <t>KNIFE SHARPENING STEEL 12 INCH DIAMOND COATED 1 EACH</t>
  </si>
  <si>
    <t>SCRAPER GRIDDLE 3 INCH 1 EACH</t>
  </si>
  <si>
    <t>TURNER LONG HANDLED 8X13 1 EACH</t>
  </si>
  <si>
    <t>BLADE 4 PIZZA 1 EACH</t>
  </si>
  <si>
    <t>CUTTER PIZZA 4 1 EACH</t>
  </si>
  <si>
    <t>CUTTER PIZZA 2 3/4 INCHES 1 EACH</t>
  </si>
  <si>
    <t>KNIFE PARING 2 3/4 INCHES 1 EACH</t>
  </si>
  <si>
    <t>KNIFE PARING 3 1/8 1 EACH</t>
  </si>
  <si>
    <t>KNIFE 5 INCH SCALLOPED FRUIT 1 EACH</t>
  </si>
  <si>
    <t>KNIFE COOK'S 8 INCH 1 EACH</t>
  </si>
  <si>
    <t>KNIFE COOKS 10 INCH 1 EACH</t>
  </si>
  <si>
    <t>KNIFE BREAD SCALLOPED 8 INCH 1 EACH</t>
  </si>
  <si>
    <t>SLICER UTILITY SCALLOPED 10 INCH 1 EACH</t>
  </si>
  <si>
    <t>SLICER UTILITY SCALLOPED 12 INCH 1 EACH</t>
  </si>
  <si>
    <t>KNIFE OFFSET SANDWICH 8 INCH 1 EACH</t>
  </si>
  <si>
    <t>KNIFE PARING CLIP POINT 3 INCH 1 EACH</t>
  </si>
  <si>
    <t>KNIFE BONING CURVED STIFF 6 1 EACH</t>
  </si>
  <si>
    <t>KNIFE COOKS 10 INCH WIDE 1 EACH</t>
  </si>
  <si>
    <t>KNIFE PARING TAPERED POINT 3 INCH 1 EACH</t>
  </si>
  <si>
    <t>KNIFE PARER SCALLOPED TAPERED 3 1/8 1 EACH</t>
  </si>
  <si>
    <t>SCRAPER GRDL4 1 EACH</t>
  </si>
  <si>
    <t>TURNER PANCAKE 4X2.5 1 EACH</t>
  </si>
  <si>
    <t>SERVER PIE 4X2.5 1 EACH</t>
  </si>
  <si>
    <t>KNIFE/SERVER PIE 5 INCH 1 EACH</t>
  </si>
  <si>
    <t>TURNER HAMBURGER 6X3 1 EACH</t>
  </si>
  <si>
    <t>TURNER CAKE 8X3 1 EACH</t>
  </si>
  <si>
    <t>CUTTER PIZZA 4 BLACK HANDLE 1 COUNT</t>
  </si>
  <si>
    <t>PIZZA ROCKER 20 1 EACH</t>
  </si>
  <si>
    <t>TURNER PERFORATED 8X3 SANI-SAFE 1 EACH</t>
  </si>
  <si>
    <t>TURNER 8X3 PERFORATED 1 EACH</t>
  </si>
  <si>
    <t>TURNER CAKE PERFORATED 8X3 1 EACH</t>
  </si>
  <si>
    <t>KNIFE PARER 3 PACK S104 CARDED 3 EACH</t>
  </si>
  <si>
    <t>KNIFE PARING 3 1/4 1 EACH</t>
  </si>
  <si>
    <t>PARER 3.25 SCALLOPED 1 EACH</t>
  </si>
  <si>
    <t>KNIFE PARING CLIP POINT 3 1/4 1 EACH</t>
  </si>
  <si>
    <t>KNIFE BUTCHER 10 INCH 1 EACH</t>
  </si>
  <si>
    <t>KNIFE CHEESE 14 1 EACH</t>
  </si>
  <si>
    <t>KNIFE OYSTER 2 3/4 INCHES NEW HAVEN 1 EACH</t>
  </si>
  <si>
    <t>KNIFE CLAM 3 INCH 1 EACH</t>
  </si>
  <si>
    <t>KNIFE BONING CURVED 6 1 EACH</t>
  </si>
  <si>
    <t>KNIFE CIMETER 10 INCH 1 EACH</t>
  </si>
  <si>
    <t>KNIFE FILLET 8E 1 EACH</t>
  </si>
  <si>
    <t>KNIFE BONING 6 NARROW 1 EACH</t>
  </si>
  <si>
    <t>KNIFE BONING 6 WIDE 1 EACH</t>
  </si>
  <si>
    <t>KNIFE OYSTER 4 GALVESTON 1 EACH</t>
  </si>
  <si>
    <t>SLICER 12 INCH ROAST 1 EACH</t>
  </si>
  <si>
    <t>SLICER ROAST 12 INCH 1 EACH</t>
  </si>
  <si>
    <t>SLICER UTILITY SCALLOPED 9 1 EACH</t>
  </si>
  <si>
    <t>KNIFE COOK'S SCALLOP 10 INCH 1 EACH</t>
  </si>
  <si>
    <t>KNIFE COOK'S 12 INCH 1 EACH</t>
  </si>
  <si>
    <t>KNIFE COOKS 8 INCH 1 EACH</t>
  </si>
  <si>
    <t>KNIFE BREAD SCALLOPED 10 INCH 1 EACH</t>
  </si>
  <si>
    <t>KNIFE POULTRY 1 EACH</t>
  </si>
  <si>
    <t>SLICER UTILITY SCALLOPED 6 1 EACH</t>
  </si>
  <si>
    <t>SLICER UTILITY SCALLOPED 8 INCH 1 EACH</t>
  </si>
  <si>
    <t>PIZZA KNIFE 16 1 EACH</t>
  </si>
  <si>
    <t>PIZZA KNIFE 18 1 EACH</t>
  </si>
  <si>
    <t>PIZZA KNIFE / GUARD ATTACHMENT 4 1 EACH</t>
  </si>
  <si>
    <t>KNIFE 8 INCH SCALLOPED BREAD 1 EACH</t>
  </si>
  <si>
    <t>KNIFE SET 2 PIECE OFFSET 1 SET</t>
  </si>
  <si>
    <t>1     1    ST</t>
  </si>
  <si>
    <t>KNIFE BREAD OFFSET 1 EACH</t>
  </si>
  <si>
    <t>SPREADER MOTHER RUSSELL 3 1/2 1 COUNT</t>
  </si>
  <si>
    <t>SPREADER 3 PACK S170L 3 COUNT</t>
  </si>
  <si>
    <t>1     3    CNT</t>
  </si>
  <si>
    <t>TURNER 2.5 MINIATURE 1 EACH</t>
  </si>
  <si>
    <t>TURNER 4X2.5 PANCAKE 1 EACH</t>
  </si>
  <si>
    <t>TURNER 4X2 1 COUNT</t>
  </si>
  <si>
    <t>SANDWICH SPREADER 3 1/2 1 EACH</t>
  </si>
  <si>
    <t>SPREADER SCALLOPED 3 PACK RED &amp; YELLOW &amp; GREEN 1 SET</t>
  </si>
  <si>
    <t>SPREADER SANDWICH 3.5 SCALLOPED 1 EACH</t>
  </si>
  <si>
    <t>SANDWICH SPREADER SCALLOPED 3 1/2 1 EACH</t>
  </si>
  <si>
    <t>KNIFE PIE 4.5X2.25 1 EACH</t>
  </si>
  <si>
    <t>KNIFE 5 INCH PIE 1 EACH</t>
  </si>
  <si>
    <t>PIZZA SERVER 6X 5 INCH 1 EACH</t>
  </si>
  <si>
    <t>TURNER SLOTTED 4X 2 1/2 1 EACH</t>
  </si>
  <si>
    <t>KNIFE 5 INCH VEGETABLE PRODUCE 1 COUNT</t>
  </si>
  <si>
    <t>KNIFE VEGETABLE PRODUCE 6 1 EACH</t>
  </si>
  <si>
    <t>SCRAPER CUTTER 6X3 DOUGH 1 EACH</t>
  </si>
  <si>
    <t>KNIFE 3 INCH PARING 1 EACH</t>
  </si>
  <si>
    <t>FORK 13 COOKS 1 EACH</t>
  </si>
  <si>
    <t>TURNER 2.5 MINIATURE 1 COUNT</t>
  </si>
  <si>
    <t>TURNER PANCAKE CAKE 4X2.5 1 EACH</t>
  </si>
  <si>
    <t>TURNER PIE 4.5X2.25 WOODHANDLE 1 COUNT</t>
  </si>
  <si>
    <t>SERVER PIE 5 INCH 1 EACH</t>
  </si>
  <si>
    <t>SPATULA BAKERS OFFSET 10 INCH 1 EACH</t>
  </si>
  <si>
    <t>SPREADER SANDWICH 3 1/2 1 EACH</t>
  </si>
  <si>
    <t>SANDWICH SPREADER SCALLOPED 3.5 1 EACH</t>
  </si>
  <si>
    <t>SPATULA 6 FROSTING 1 EACH</t>
  </si>
  <si>
    <t>SPATULA BAKERS 6 1 COUNT</t>
  </si>
  <si>
    <t>SPATULA BAKERS 8 INCH 1 EACH</t>
  </si>
  <si>
    <t>SPATULA 6.5 FROSTING 1 EACH</t>
  </si>
  <si>
    <t>TURNER 4X3 HAMBURGER 1 EACH</t>
  </si>
  <si>
    <t>TURNER HEAVY DUTY HAMBURGER 5X 4 1 EACH</t>
  </si>
  <si>
    <t>TURNER HAMBURGER 6X 3 INCH 1 EACH</t>
  </si>
  <si>
    <t>TURNER 6X3 ROUND CORNER 1 COUNT</t>
  </si>
  <si>
    <t>TURNER 8X3 CAKE 1 EACH</t>
  </si>
  <si>
    <t>FORKS COOKS 13 1/2 1 EACH</t>
  </si>
  <si>
    <t>SCRAPER 4 GRIDDLE 1 COUNT</t>
  </si>
  <si>
    <t>PIZZA CUTTER 2 3/4 INCHES 1 EACH</t>
  </si>
  <si>
    <t>CUTTER PARISIAN 1 EACH</t>
  </si>
  <si>
    <t>DOUGH CUTTER 6X3 1 EACH</t>
  </si>
  <si>
    <t>KNIFE CHINESE 8X3.25 1 EACH</t>
  </si>
  <si>
    <t>TURNER GRILL 8X3 1 EACH</t>
  </si>
  <si>
    <t>TURNER 8X4 1 EACH</t>
  </si>
  <si>
    <t>KNIFE PARER 3.25 COOKS STYLE BLACK 1 COUNT</t>
  </si>
  <si>
    <t>KNIFE PARER CLIP POINT 3 1/4 1 EACH</t>
  </si>
  <si>
    <t>KNIFE 8 INCH NARROW FILLET 1 EACH</t>
  </si>
  <si>
    <t>KNIFE 6 WIDE BONING KNIFE BLACK 1 EACH</t>
  </si>
  <si>
    <t>KNIFE 6 FLEXIBLE BONING KNIFE BLACK 1 EACH</t>
  </si>
  <si>
    <t>KNIFE ROAST SLICER 12 INCH 1 EACH</t>
  </si>
  <si>
    <t>SLICER 12 INCH DUO EDGE 1 EACH</t>
  </si>
  <si>
    <t>KNIFE ROAST SLICER SCALLOPED 12 INCH 1 EACH</t>
  </si>
  <si>
    <t>KNIFE 7 DUO EDGE SANTOKU 1 COUNT</t>
  </si>
  <si>
    <t>KNIFE 10 INCH COOK'S KNIFE BLACK 1 EACH</t>
  </si>
  <si>
    <t>KNIFE 6 SCALLOPED UTILITY KNIFE BLACK 1 EACH</t>
  </si>
  <si>
    <t>KNIFE 8 INCH SCALLOPED UTILITY KNIFE 1 EACH</t>
  </si>
  <si>
    <t>KNIFE 8 INCH SCALLOPED BREAD KNIFE BLACK 1 EACH</t>
  </si>
  <si>
    <t>KNIFE 9 SCALLOPED OFFSET SANDWICH BLACK 1 EACH</t>
  </si>
  <si>
    <t>KNIFE 9SCAL OFFSET SANDWICH 1 EACH</t>
  </si>
  <si>
    <t>KNIFE 7PC SOFGRIP SET 1 SET</t>
  </si>
  <si>
    <t>CUTLERY 3 PIECE SET 1 SET</t>
  </si>
  <si>
    <t>KNIFE PARING 3.5 1 EACH</t>
  </si>
  <si>
    <t>KNIFE 6 NARROW BONING 1 EACH</t>
  </si>
  <si>
    <t>KNIFE 9 SANTOKU STYLE CHEF 1 COUNT</t>
  </si>
  <si>
    <t>KNIFE 10 INCH COOK'S 1 COUNT</t>
  </si>
  <si>
    <t>SLICER KNIFE UTILITY SCALLOPED 6 1 EACH</t>
  </si>
  <si>
    <t>KNIFE 8 INCH SCALLOPED UTILITY 1 EACH</t>
  </si>
  <si>
    <t>KNIFE 8 INCH SCALLOPED BREAD 1 COUNT</t>
  </si>
  <si>
    <t>KNIFE 9 SCALLOPED OFFSET SANDWICH 1 COUNT</t>
  </si>
  <si>
    <t>DIAL CORPORATION</t>
  </si>
  <si>
    <t>ULTRA POWDER ORIGINAL FRESH 4 CASE 74 OUNCE</t>
  </si>
  <si>
    <t>ULTRA CONCENTRATED FRESH CLEAN WITH BLEACH 6 CASE 50 OUNCE</t>
  </si>
  <si>
    <t>SOAP DIAL COMPLETE ANTIMICROBIAL FOAMING 4 CASE 1 LITER</t>
  </si>
  <si>
    <t>SOAP COMPLETE LIQUID REFILL 6 CASE 800 MILLILITER</t>
  </si>
  <si>
    <t>CLEANER SOFT SCRUB LEMON 26 OUNCE 9 CASE 26 OUNCE</t>
  </si>
  <si>
    <t>SOAP DIAL ANTIBACTERIAL DEODORANT BAR 72 CASE 3.5 OUNCE</t>
  </si>
  <si>
    <t>SANITIZER DIAL INSTANT HAND WITH MOISTURIZERS 12 CASE 7.5 OUNCE</t>
  </si>
  <si>
    <t>CLEANER SOFT SCRUB WITH BLEACH 24OZ 9 CASE 24 OUNCE</t>
  </si>
  <si>
    <t>DETERGENT TREND DRY 10 OUNCE 24 CASE 10 OUNCE</t>
  </si>
  <si>
    <t>DETERGENT TREND DRY 22 OUNCE 12 CASE 22 OUNCE</t>
  </si>
  <si>
    <t>DETERGENT TREND DRY FAMILY RETAIL 4 CASE 77 OUNCE</t>
  </si>
  <si>
    <t>LAUNDRY DETERGENT POWDER FRESH WITH BLEACH 12 CASE 22 OUNCE</t>
  </si>
  <si>
    <t>WITH BLEACH 77 OUNCE 4 COUNT</t>
  </si>
  <si>
    <t>SOAP DIAL ANTIBACTERIAL DEODORANT BAR 72 CASE 4 OUNCE</t>
  </si>
  <si>
    <t>SOAP DIAL HAND SOAP FOAMING 8 CASE 7.5 OUNCE</t>
  </si>
  <si>
    <t>DISPENSER MODEL 28WM 1 COUNT</t>
  </si>
  <si>
    <t>DISPENSER DIAL SMOKE ONE LITER 1 COUNT</t>
  </si>
  <si>
    <t>SHAMPOO DIAL BODY &amp; HAIR WITH PUMP 4 CASE 1 GALLON</t>
  </si>
  <si>
    <t>BASIC HYPOALLERGENIC LIQUID SOAP 8 CASE 1 LITER</t>
  </si>
  <si>
    <t>DEODORANT RIGHT GUARD SPORT AEROSOL ORIGINAL RETAIL 12 CASE 10 OUNCE</t>
  </si>
  <si>
    <t>DIAL LIQUID GOLD 12 CASE 9.38 OUNCE</t>
  </si>
  <si>
    <t>CLEANER SOFT SCRUB COMMERCIAL LEMON 6 CASE 38 OUNCE</t>
  </si>
  <si>
    <t>CLEANER SOFT SCRUB WITH BLEACH COMMERCIAL 6 CASE 36 OUNCE</t>
  </si>
  <si>
    <t>RIGHT GUARD SPORT INVISIBLE SOLID ANTIPERSPIRANT FRESH 2 CASE 6 COUNT</t>
  </si>
  <si>
    <t>RIGHT GUARD SPORT INVISIBLE SOLID ANTIPERSPIRANT ACTIVE RETAIL 2 CASE 6 COUNT</t>
  </si>
  <si>
    <t>SOAP LIQUID DIAL GOLD ANTIMICROBIAL 4 CASE 1 GALLON</t>
  </si>
  <si>
    <t>SANITIZER DIAL INSTANT HAND REFILL 12 CASE 800 MILLILITER</t>
  </si>
  <si>
    <t>SOAP ANTIBACTERIAL REFILL 12 CASE 800 MILLILITER</t>
  </si>
  <si>
    <t>SOAP LIQUID DIAL ANTIMICROBIAL 12 CASE 800 MILLILITER</t>
  </si>
  <si>
    <t>SOAP PINK LOTION 12 CASE 800 MILLILITER</t>
  </si>
  <si>
    <t>DISCO INC.</t>
  </si>
  <si>
    <t>TOWELETTES MOIST. 1000 COUNT</t>
  </si>
  <si>
    <t>PURIFIER POWDER 13LB FILTER BRITE 14 POUND</t>
  </si>
  <si>
    <t>SPONGE STAINLESS STEEL 1.75 OUNCE SILVER 6 CASE 12 COUNT</t>
  </si>
  <si>
    <t>SPONGE STAINLESS STEEL SILVER 12 COUNT</t>
  </si>
  <si>
    <t>FILTER SHEET 12.5X17.75 100 COUNT</t>
  </si>
  <si>
    <t>FILTER SHEET 13.5X24 100 COUNT</t>
  </si>
  <si>
    <t>FILTER ENVELOPE 14X22 100 COUNT</t>
  </si>
  <si>
    <t>FILTER SHEET 14.75X23.125 100 COUNT</t>
  </si>
  <si>
    <t>FILTER SHEET 16.38X18.38 100 COUNT</t>
  </si>
  <si>
    <t>FILTER SHEET 16.38X24.38 100 COUNT</t>
  </si>
  <si>
    <t>FILTER SHEET 16.5X25.5 100 COUNT</t>
  </si>
  <si>
    <t>FILTER GREASE ENVELOPE 100 COUNT</t>
  </si>
  <si>
    <t>FRYER FILTER PAPER 17.5X24 100 COUNT</t>
  </si>
  <si>
    <t>FILTER SHEET 17.5X28 100 COUNT</t>
  </si>
  <si>
    <t>FILTER ENVELOPE 18.5X20.5 100 COUNT</t>
  </si>
  <si>
    <t>SPONGE STAINLESS STEEL SILVER 1.25 OUNCE 6 CASE 12 COUNT</t>
  </si>
  <si>
    <t>FILTER SHEET 21X33.25 100 COUNT</t>
  </si>
  <si>
    <t>FILTER 21.88 100 COUNT</t>
  </si>
  <si>
    <t>BRUSH L-TIPPED FRYER 1 COUNT</t>
  </si>
  <si>
    <t>BRUSH FRYER TAMPICO 1 COUNT</t>
  </si>
  <si>
    <t>FILTER ENVELOPE 9.25X18.25 100 COUNT</t>
  </si>
  <si>
    <t>DIATOMACEOUS EARTH 166 APPLICATIONS 25 POUND</t>
  </si>
  <si>
    <t>FRYER BOIL OUT 2 CASE 8 POUND</t>
  </si>
  <si>
    <t>PURIFIER OIL BRITESORB PORTION PACK 60 CASE 5 OUNCE</t>
  </si>
  <si>
    <t>FILTER REGULAR 10 INCH CONE 10 CASE 50 COUNT</t>
  </si>
  <si>
    <t>HOLDER FILTER CONE 1 COUNT</t>
  </si>
  <si>
    <t>CRISPER VEGETABLE FRESHWAY 12 CASE 1 POUND</t>
  </si>
  <si>
    <t>CRISPER FRUIT &amp; VEGETABLE FRESHWAY 6 CASE 5 POUND</t>
  </si>
  <si>
    <t>GRIDDLE SCREEN 50/8 50 CASE 8 COUNT</t>
  </si>
  <si>
    <t>GRIDDLE KIT 1 COUNT</t>
  </si>
  <si>
    <t>PAD GRIDDLE BROWN 6 CASE 10 COUNT</t>
  </si>
  <si>
    <t>PAD GRIDDLE BROWN 20 COUNT</t>
  </si>
  <si>
    <t>HOLDER PAD GRID BLUE 1 EACH</t>
  </si>
  <si>
    <t>HOLDER GRIDDLE PAD 2 COUNT</t>
  </si>
  <si>
    <t>SCREEN GRIDDLE 10 CASE 20 COUNT</t>
  </si>
  <si>
    <t>PAD SCOURING HEAVY DUTY GREEN 6 CASE 10 COUNT</t>
  </si>
  <si>
    <t>PAD SCOURING HEAVY DUTY 6X9 GREEN 15 COUNT</t>
  </si>
  <si>
    <t>HAIRNET 15 DENIER 10 CASE 144 COUNT</t>
  </si>
  <si>
    <t>PAD SCOURING MEDIUM DUTY GREEN 20 COUNT</t>
  </si>
  <si>
    <t>PAD SCOURING MEDIUM DUTY GREEN 6 CASE 10 COUNT</t>
  </si>
  <si>
    <t>PAD SCOURING 3.5X5 GREEN 60 COUNT</t>
  </si>
  <si>
    <t>SCRUBBER POT &amp; PAN BLUE 3 CASE 12 COUNT</t>
  </si>
  <si>
    <t>SCRUBBER POT &amp; PAN BLUE 20 COUNT</t>
  </si>
  <si>
    <t>SCRUBBER POT &amp; PAN BLUE 4 CASE 10 COUNT</t>
  </si>
  <si>
    <t>PAD BRILLO SOAP 12 CASE 10 COUNT</t>
  </si>
  <si>
    <t>PAD BRILLO SOAP PINK 12 CASE 10 COUNT</t>
  </si>
  <si>
    <t>SPONGE &amp; SCRUBBER GREEN 8 CASE 5 COUNT</t>
  </si>
  <si>
    <t>PAD SCOUR WALNUT 6X9 20 COUNT</t>
  </si>
  <si>
    <t>DISCOVERY PRODUCTS CORPORATION</t>
  </si>
  <si>
    <t>DEGREASER CARBON OFF. LIQUID 1 GALLON</t>
  </si>
  <si>
    <t>DEGREASER CARBON OFF. LIQUID 2 CASE 1 GALLON</t>
  </si>
  <si>
    <t>DEGREASER CARBON OFF. AEROSOL 6 CASE 19 OUNCE</t>
  </si>
  <si>
    <t>DEGREASER CARBON OFF. LIQUID 6 CASE 1 QUART</t>
  </si>
  <si>
    <t>DEGREASER CARBON OFF. AEROSOL 9 CASE 19 OUNCE</t>
  </si>
  <si>
    <t>DEGREASER CARBON OFF. AEROSOL 12 CASE 19 OUNCE</t>
  </si>
  <si>
    <t>CLEAN &amp; POLISH BRITE SHINE AEROSOL 12 CASE 11 OUNCE</t>
  </si>
  <si>
    <t>CLEANER GRILL FOAM PLUS AEROSOL 6 CASE 19 OUNCE</t>
  </si>
  <si>
    <t>FRYER PUCK BOIL OUT 6 CASE 5 COUNT</t>
  </si>
  <si>
    <t>LIQUEFIRE ANTI ICING AGENT 4 CASE 1 GALLON</t>
  </si>
  <si>
    <t>DIVERSEY INC.</t>
  </si>
  <si>
    <t>DETERGENT MULTI-PURPOSE 36 POUND</t>
  </si>
  <si>
    <t>SOAP DOVE LIQUID HAND 4 CASE 1 GALLON</t>
  </si>
  <si>
    <t>CLEANER MULTI-SURFACE 100 CASE 3 OUNCE</t>
  </si>
  <si>
    <t>WINDEX SUPER CONTAINER WITH TWO BOTTLES EMPTY 1.5 LITER</t>
  </si>
  <si>
    <t>FANTASTIK WITH 2 EMPTY BOTTLE 1.5 LITER</t>
  </si>
  <si>
    <t>CLEANER SCRUBBING BUBBLES WITH 2 EMPTY BOTTLE 1.5 LITER</t>
  </si>
  <si>
    <t>DISPENSER BLACK 800ML 12 COUNT</t>
  </si>
  <si>
    <t>SKIDOO FLYING INSECT KILLER INSTITUTIONAL 6 CASE 16 OUNCE</t>
  </si>
  <si>
    <t>TREATMENT DOCK AND DUMPSTER 4 CASE 32 OUNCE</t>
  </si>
  <si>
    <t>ZIPLOCK BAG FREEZER SR432881 300 COUNT</t>
  </si>
  <si>
    <t>SANITIZER FINAL STEP OPTIFILL 2.5 LITER</t>
  </si>
  <si>
    <t>SUMA SUPREME POT &amp; PAN OPTIFILL 2.5 LITER</t>
  </si>
  <si>
    <t>PERIDIEM FLOOR CLEANER SMART DOSE 2 CASE 1.4 LITER</t>
  </si>
  <si>
    <t>SOFT CARE FOAM ANTIBACTERIAL HAND SOAP 4 CASE 1000 MILLILITER</t>
  </si>
  <si>
    <t>SOFT CARE FOAM DISPENSER 1000 ML GRAY 4 COUNT</t>
  </si>
  <si>
    <t>SUNLIGHT DISH LIQUID LEMON FRESH R570303 4 CASE 1 GALLON</t>
  </si>
  <si>
    <t>NEUTRA-GERM ANTIBACTERIAL 4 CASE 1 LITER</t>
  </si>
  <si>
    <t>SOFT CARE FOAM HAND SOAP GENERAL PURPOSE 4 CASE 1000 MILLILITER</t>
  </si>
  <si>
    <t>SUNLIGHT LIQUID DISH SOAP LEMON 4 CASE 1 GALLON</t>
  </si>
  <si>
    <t>SUN LIQUID LAUNDRY DETERGENT 4 CASE 64 FLUID OUNCE</t>
  </si>
  <si>
    <t>SUN LIQUID LAUNDRY DETERGENT 4 CASE 1 GALLON</t>
  </si>
  <si>
    <t>SUN LIQUID LAUNDRY DETERGENT 2 CASE 2 GALLON</t>
  </si>
  <si>
    <t>SUNLIGHT LIQUID DISH SOAP LEMON 90 CASE 3 FLUID OUNCE</t>
  </si>
  <si>
    <t>SUNLIGHT LIQUID DISH SOAP LEMON 9 CASE 38 FLUID OUNCE</t>
  </si>
  <si>
    <t>SUNLIGHT LIQUID DISH SOAP LEMON 2 CASE 6 LITER</t>
  </si>
  <si>
    <t>SUNLIGHT LIQUID DISH SOAP LEMON 5 GALLON</t>
  </si>
  <si>
    <t>ALL MULTI PURPOSE POWDER LAUNDRY DETERGENT 19 POUND</t>
  </si>
  <si>
    <t>ALL MULTI PURPOSE POWDER LAUNDRY DETERGENT 32.5 POUND</t>
  </si>
  <si>
    <t>PLEDGE LEMON FURNITURE CLEANING SPRAY 6 CASE 13.8 OUNCE</t>
  </si>
  <si>
    <t>ALL LAUNDRY DETERGENT HE. 4 CASE 64 FLUID OUNCE</t>
  </si>
  <si>
    <t>ALL LAUNDRY DETERGENT HE. 2 CASE 2 GALLON</t>
  </si>
  <si>
    <t>SNUGGLE LIQUID FABRIC SOFTENER 6 CASE 64 FLUID OUNCE</t>
  </si>
  <si>
    <t>SNUGGLE LIQUID FABRIC SOFTENER 4 CASE 1 GALLON</t>
  </si>
  <si>
    <t>SNUGGLE LIQUID FABRIC SOFTENER 2 CASE 2 GALLON</t>
  </si>
  <si>
    <t>ALL FREE AND CLEAR LAUNDRY DETERGENT HE. 4 CASE 64 FLUID OUNCE</t>
  </si>
  <si>
    <t>ALL FREE AND CLEAR LAUNDRY DETERGENT HE. 4 CASE 1 GALLON</t>
  </si>
  <si>
    <t>ALL FREE AND CLEAR LAUNDRY DETERGENT HE. 2 CASE 2 GALLON</t>
  </si>
  <si>
    <t>SUNLIGHT AUTO DISH DETERGENT POWDER 100 CASE 1.5 OUNCE</t>
  </si>
  <si>
    <t>WISK DEEP CLEAN LAUNDRY DETERGENT HE. 4 CASE 64 FLUID OUNCE</t>
  </si>
  <si>
    <t>WISK DEEP CLEAN LAUNDRY DETERGENT HE. 4 CASE 1 GALLON</t>
  </si>
  <si>
    <t>WISK DEEP CLEAN LAUNDRY DETERGENT HE. 2 CASE 2 GALLON</t>
  </si>
  <si>
    <t>SUNLIGHT LIQUID DISH SOAP FRESH 6 CASE 38 FLUID OUNCE</t>
  </si>
  <si>
    <t>SUNLIGHT LIQUID DISH SOAP FRESH 4 CASE 1 GALLON</t>
  </si>
  <si>
    <t>CLEANER WINDEX READY TO USE BAG IN BOX 5 GALLON</t>
  </si>
  <si>
    <t>CLEANER WINDEX GLASS AEROSOL 12 COUNT 20 OUNCE</t>
  </si>
  <si>
    <t>CLEANER WNDEX TRIGGER SPRAY 12 CASE 32 OUNCE</t>
  </si>
  <si>
    <t>CLEANER WINDEX GLASS TRIGGER SPRAY 12 COUNT 32 OUNCE</t>
  </si>
  <si>
    <t>CLEANER MILDEW TRIGGER SPRAY VANISH PROFESSIONAL USE ONLY 6 CASE 32 OUNCE</t>
  </si>
  <si>
    <t>CLEANER VANISH BOWL LIQUID NON ACID 6 COUNT 32 OUNCE</t>
  </si>
  <si>
    <t>CLEANER BEER CLEAN GLASS MANUAL BRUSH 2 CASE 4 POUND</t>
  </si>
  <si>
    <t>SANITIZER BEER CLEAN 2 CASE 25 OUNCE</t>
  </si>
  <si>
    <t>CLEANER BEER CLEAN MANUAL BEER BRUSH POWDER POUCH 100 COUNT .5 OUNCE</t>
  </si>
  <si>
    <t>SOLVENT BEER CLEAN MINERAL POWDER 100 CASE .5 OUNCE</t>
  </si>
  <si>
    <t>SANITIZER BEER POWDER POUCH PACK SINGLE SERVE LAST RINSE SANITIZER 100 COUNT .25 OUNCE</t>
  </si>
  <si>
    <t>CLEANER BEER LOW SUD SUDS POWDER POUCH PACK 100 COUNT .5 OUNCE</t>
  </si>
  <si>
    <t>SURE TRACTOR ULTRA 2 COUNT 1 GALLON</t>
  </si>
  <si>
    <t>SANITIZER SANI-SURE CLEAN SOFT SERVE POUCH 100 COUNT 1 OUNCE</t>
  </si>
  <si>
    <t>CLEANER BEER CLEAN GLASS ELECTRASOL BRUSH 2 CASE 4 POUND</t>
  </si>
  <si>
    <t>CLEANER ALL PURPOSE EASY PARK .5 PACKET 2 COUNT 90 PACKET</t>
  </si>
  <si>
    <t>CLEANER EASYPAKS BOWL .5OZ 2 CASE 90 COUNT</t>
  </si>
  <si>
    <t>SANITIZER SANI-SURE POWDER 100 COUNT .125 OUNCE</t>
  </si>
  <si>
    <t>CLEANER WINDEX GLASS 4 COUNT 1 GALLON</t>
  </si>
  <si>
    <t>CLEAN OVEN MR MUSCLE AEROSOL 6 COUNT 19 OUNCE</t>
  </si>
  <si>
    <t>CLEANER MR. MUSCLE DEGREASER &amp; FRYER 36 CASE 2 OUNCE</t>
  </si>
  <si>
    <t>CLEANER WHISTLE ALL PURPOSE CONTAINER 4 COUNT 1 GALLON</t>
  </si>
  <si>
    <t>CLEANER TWINKLE POLISH WATER AEROSOL 12 COUNT 17 OUNCE</t>
  </si>
  <si>
    <t>DEGREASER WHISTLE DISHWASHING 6 CASE 32 OUNCE</t>
  </si>
  <si>
    <t>BROOM O'CEDAR SWEEP MAXI ANGLE FLAGGED HARDWARE 4 COUNT</t>
  </si>
  <si>
    <t>CLEANER SCRUBBING BUBBLES BATHROOM AEROSOL FRESH SCENT 12 CASE 25 OUNCE</t>
  </si>
  <si>
    <t>CLEANER FANTASTIK ALL PURPOSE TRIGGER SPRAY PROFESSIONAL USE ONLY 12 CASE 32 OUNCE</t>
  </si>
  <si>
    <t>CLEANER FANTASTIK ALL PURPOSE GALLON 4 CASE 1 GALLON</t>
  </si>
  <si>
    <t>BAGS ZIPLOC SANDWICH 1.2ML 500 COUNT</t>
  </si>
  <si>
    <t>BAGS ZIPLOC QUART STORAGE 1.75ML 500 COUNT</t>
  </si>
  <si>
    <t>BAG ZIPLOC GALLON STORAGE 250 COUNT</t>
  </si>
  <si>
    <t>BAGS ZIPLOC 2 GALLON STORAGE 1.75 100 COUNT</t>
  </si>
  <si>
    <t>BAGS ZIPLOC ONE GALLON FREEZER 2.7ML 250 COUNT</t>
  </si>
  <si>
    <t>BAGS ZIPLOC 2 GALLON FREEZER 100 COUNT</t>
  </si>
  <si>
    <t>AIR FRESHENER GLADE AEROSOL COUNTRY GARDEN 12 COUNT 13 OUNCE</t>
  </si>
  <si>
    <t>AIR FRESHENER GLADE SUPER FRESH 12 CASE 13 OUNCE</t>
  </si>
  <si>
    <t>INSECTICIDE FLYING RAID COMMERCIAL AEROSOL 6 CASE 19 OUNCE</t>
  </si>
  <si>
    <t>INSECTICIDE VECTOR DISCREET BOARD 24 SET</t>
  </si>
  <si>
    <t>DRANO 32 OUNCE RETAIL PACK 12 CASE 32 OUNCE</t>
  </si>
  <si>
    <t>CLEANER WINDEX 12 CASE 12 OUNCE</t>
  </si>
  <si>
    <t>BAG ZIPLOC QUART RETAIL PACK FREEZER 9 CASE 40 COUNT</t>
  </si>
  <si>
    <t>SANDWICH BAG ZIPLOC 12 CASE 50 COUNT</t>
  </si>
  <si>
    <t>WOOD/FURNITURE CARE PLEDGE AEROSOL CEDAR SCENT 12 CASE 12.5 OUNCE</t>
  </si>
  <si>
    <t>ZIPLOCK BAG SNACK SIZE 12 CASE 100 COUNT</t>
  </si>
  <si>
    <t>INSECTICIDE RAID FLYING INSECT KILLER 12 CASE 15 OUNCE</t>
  </si>
  <si>
    <t>REPELLENT OFF AEROSOL 15 % DEET 6 OZ 12 CASE 6 OUNCE</t>
  </si>
  <si>
    <t>INSECTICIDE OFF. DEEP WOODS AEROSOL 12 CASE 6 OUNCE</t>
  </si>
  <si>
    <t>STAIN TREATMENT SHOUT TRIGGER SPRAY 12 CASE 22 OUNCE</t>
  </si>
  <si>
    <t>SUNLIGHT AUTO DISH DETERGENT POWDER LEMON BOOST 10 CASE 45 OUNCE</t>
  </si>
  <si>
    <t>SNUGGLE FABRIC SOFTENER SHEETS BLUE SPARKLE 12 CASE 40 COUNT</t>
  </si>
  <si>
    <t>SNUGGLE FABRIC SOFTENER SHEETS BLUE SPARKLE 6 CASE 120 COUNT</t>
  </si>
  <si>
    <t>SNUGGLE CONCENTRATED FABRIC SOFTENER BLUE SPARKLE 6 CASE 50 FLUID OUNCE</t>
  </si>
  <si>
    <t>SURF POWDER LAUNDRY DETERGENT SPRING BURST 6 CASE 52 OUNCE</t>
  </si>
  <si>
    <t>SURF POWDER LAUNDRY DETERGENT SPRING BURST 2 CASE 156 OUNCE</t>
  </si>
  <si>
    <t>ALL FREE AND CLEAR POWDER LAUNDRY DETERGENT 6 CASE 52 OUNCE</t>
  </si>
  <si>
    <t>ALL POWDER LAUNDRY DETERGENT OXY ACTIVE 2 CASE 165 OUNCE</t>
  </si>
  <si>
    <t>REPELLENT DEEP WOODS OFF AEROSOL SPORTSMAN 12 CASE 6 OUNCE</t>
  </si>
  <si>
    <t>WINDEX ANTIBACTERIAL 8 CASE 32 OUNCE</t>
  </si>
  <si>
    <t>SUNLIGHT AUTO DISH DETERGENT POWDER LEMON BOOST 8 CASE 75 OUNCE</t>
  </si>
  <si>
    <t>SUNLIGHT AUTO DISH DETERGENT POWDER LEMON BOOST 6 CASE 20 COUNT</t>
  </si>
  <si>
    <t>FANTASTIC SCRUBBING BUBBLES ALL PURPOSE SPRAY HIGH DENSITY 8 CASE 32 OUNCE</t>
  </si>
  <si>
    <t>DIXIE PRODUCTS</t>
  </si>
  <si>
    <t>DIXIE KIDS CUP WITH LID &amp; STRAW 10 OZ 400 COUNT</t>
  </si>
  <si>
    <t>CARTON 10 POUND PLAIN 9X6X6.5 200 COUNT</t>
  </si>
  <si>
    <t>DIXIE BAKING CUP FLUTED 2X1.25X4.5 WHITE 10000 COUNT</t>
  </si>
  <si>
    <t>PATHWAYS CUPS 16 OUNCE 1200 COUNT</t>
  </si>
  <si>
    <t>CARTON CARRY OUT TRAY 400 COUNT</t>
  </si>
  <si>
    <t>PATHWAYS CUPS 8 OUNCE 20 CASE 50 COUNT</t>
  </si>
  <si>
    <t>DIXIE PAPER HOT CUP WHITE 8 OUNCE 1000 COUNT</t>
  </si>
  <si>
    <t>PAPER HOT CUP 10 OUNCE 1000 COUNT</t>
  </si>
  <si>
    <t>DIXIE PAPER HOT CUP WHITE 10 OZ 1000 COUNT</t>
  </si>
  <si>
    <t>JAVA PAPER HOT CUP 12 OUNCE 1000 COUNT</t>
  </si>
  <si>
    <t>PATHWAY CUPS 12 OUNCE 20 CASE 25 COUNT</t>
  </si>
  <si>
    <t>DIXIE PAPER HOT CUP WHITE 12 OUNCE 1000 COUNT</t>
  </si>
  <si>
    <t>JAVA PAPER HOT CUP 16 OUNCE 1000 COUNT</t>
  </si>
  <si>
    <t>DIXIE PAPER HOT CUP WHITE 16 OUNCE 1000 COUNT</t>
  </si>
  <si>
    <t>JAVA PAPER HOT CUP 20 OZ 600 COUNT</t>
  </si>
  <si>
    <t>DIXIE PAPER HOT CUP WHITE 20 OZ 600 COUNT</t>
  </si>
  <si>
    <t>DIXIE CUP CARRIER 2 CUP 400 COUNT</t>
  </si>
  <si>
    <t>DISPENS-A-WAX DELI PATTY PAPER 4.75X5 24000 COUNT</t>
  </si>
  <si>
    <t>BRAWNY TOWEL WHITE 30 ROLL</t>
  </si>
  <si>
    <t>PAPER NAPKINS 12 CASE 160 COUNT</t>
  </si>
  <si>
    <t>CONTAINER FOUR DRINK WHITE 200 COUNT</t>
  </si>
  <si>
    <t>DISPENS-A-WAX DELI PATTY PAPER 5.5X5.5 24000 COUNT</t>
  </si>
  <si>
    <t>PLATE ECONOMY 9 WHITE 960 COUNT</t>
  </si>
  <si>
    <t>PERFECTOUCH INSULATED CUP BEANS 8 OUNCE 1000 COUNT</t>
  </si>
  <si>
    <t>PERFECTOUCH INSULATED CUP COFFEE DREAMS 8 OUNCE 1000 COUNT</t>
  </si>
  <si>
    <t>PERFECTOUCH INSULATED CUP BEANS 12 OUNCE 1000 COUNT</t>
  </si>
  <si>
    <t>PERFECTOUCH INSULATED CUP COFFEE DREAMS 12 OUNCE 1000 COUNT</t>
  </si>
  <si>
    <t>CUPS 12 OUNCE WHITE PERFECT TOUCH 1000 COUNT</t>
  </si>
  <si>
    <t>PERFECTOUCH INSULATED CUP BEANS 16 OUNCE 1000 COUNT</t>
  </si>
  <si>
    <t>PERFECTOUCH INSULATED CUP COFFEE DREAMS 16 OUNCE 1000 COUNT</t>
  </si>
  <si>
    <t>PERFECTOUCH INSULATED CUP COFFEE DREAMS 24 OZ 500 COUNT</t>
  </si>
  <si>
    <t>PATHWAYS CUPS 5 OUNCE 2400 COUNT</t>
  </si>
  <si>
    <t>DIXIE CARRYOUT TRAY 10.5X10.5X3.625 200 COUNT</t>
  </si>
  <si>
    <t>CUTLERY COMBO TUBE 16 CASE 24 COUNT</t>
  </si>
  <si>
    <t>BATHROOM TISSUE 6 CASE 66.67 SQUARE FOOT</t>
  </si>
  <si>
    <t>PLATE ULTRA 10 1/16 200 COUNT</t>
  </si>
  <si>
    <t>FOOD WRAP KABNET WAX 12X10.75 6000 COUNT</t>
  </si>
  <si>
    <t>LIDDLES PORTION CUP WITH LID 4 OUNCE 900 COUNT</t>
  </si>
  <si>
    <t>LIDDLES PORTION CUP WITH LID 2 OUNCE 900 COUNT</t>
  </si>
  <si>
    <t>QUIK-RAP SANDWICH PAPER GREASE RESISTANT 12X12 WHITE 5000 COUNT</t>
  </si>
  <si>
    <t>QUIK-RAP SANDWICH PAPER GREASE RESISTANT 12X12 YELLOW 5000 COUNT</t>
  </si>
  <si>
    <t>DIXIE PAPER COLD CUP LID 12 16 21 OUNCE 1200 COUNT</t>
  </si>
  <si>
    <t>DIXIE PAPER COLD CUP LID 32 OUNCE 600 COUNT</t>
  </si>
  <si>
    <t>PERFECTOUCH INSULATED CUP COFFEE DREAMS 10 OZ 1000 COUNT</t>
  </si>
  <si>
    <t>CUPS 10OZ WHITE 1000 COUNT</t>
  </si>
  <si>
    <t>PATHWAYS CARTON 10 POUND 200 COUNT</t>
  </si>
  <si>
    <t>PATHWAYS FRENCH FRY CARTON 1500 COUNT</t>
  </si>
  <si>
    <t>CUPS PLASTIC 7 OUNCE CLEAR 1000 COUNT</t>
  </si>
  <si>
    <t>CUTLERY KIT BLACK HEAVY WEIGHT 500 COUNT</t>
  </si>
  <si>
    <t>FORK  KNIFE  &amp; NAPKIN BLACK POLYSTYRENE HEAVY WEIGHT 250 COUNT</t>
  </si>
  <si>
    <t>DIXIE CUTLERY KIT MEDIUM WEIGHT KNIFE FORK NAPKIN SALT &amp;PEPPER 250 COUNT</t>
  </si>
  <si>
    <t>DIXIE CUTLERY KIT MEDIUM WEIGHT POLYPROPYLENE KNIFE FORK SPOON NAPKIN S&amp;P 250 COUNT</t>
  </si>
  <si>
    <t>PERFECTOUCH PAPER HOT CUP LID 8 OUNCE DOME WHITE 1000 COUNT</t>
  </si>
  <si>
    <t>PERFECTOUCH PAPER HOT CUP LID 10 12 16 OUNCE DOME WHITE 1000 COUNT</t>
  </si>
  <si>
    <t>PERFECTOUCH PAPER HOT CUP LID 10 12 16 OUNCE DOME BLACK 1000 COUNT</t>
  </si>
  <si>
    <t>PERFECTOUCH PAPER HOT CUP LID 20 24 OZ DOME WHITE 1000 COUNT</t>
  </si>
  <si>
    <t>PERFECTOUCH PAPER HOT CUP LID 20 24 OZ DOME BLACK 1000 COUNT</t>
  </si>
  <si>
    <t>FREEZER PAPER 18X1100 FT.W 1100 FOOT</t>
  </si>
  <si>
    <t>DIXIE FORK HEAVYWEIGHT POLYSTYRENE CHAMPAGNE 7.125 1000 COUNT</t>
  </si>
  <si>
    <t>DIXIE FORK HEAVYWEIGHT POLYSTYRENE WHITE 7.125 1000 COUNT</t>
  </si>
  <si>
    <t>DIXIE FORK HEAVYWEIGHT POLYSTYRENE BLACK 7.125 1000 COUNT</t>
  </si>
  <si>
    <t>DIXIE FORK MEDIUM WEIGHT POLYSTYRENE CHAMPAGNE 6 5/16 1000 COUNT</t>
  </si>
  <si>
    <t>DIXIE FORK MEDIUM WEIGHT POLYSTYRENE WHITE 6.5 1000 COUNT</t>
  </si>
  <si>
    <t>DIXIE FORK MEDIUM WEIGHT POLYSTYRENE BLACK 6.5 1000 COUNT</t>
  </si>
  <si>
    <t>FOOD WRAP INTERFOLD 8X10.75 6000 COUNT</t>
  </si>
  <si>
    <t>DIXIE STRAW RED 10.25 GIANT WRAPPED 1200 COUNT</t>
  </si>
  <si>
    <t>DIXIE PAN LINER HANDI-SIZE GREASE PROOF WHITE 12.1X16.325 1000 COUNT</t>
  </si>
  <si>
    <t>DIXIE STRAW JUMBO 7.75 UNWRAPPED 12500 COUNT</t>
  </si>
  <si>
    <t>STRAWS JUMBO 10.25 RED 2000 COUNT</t>
  </si>
  <si>
    <t>DIXIE STRAW 12 INCH JUMBO WRAPPED 2000 COUNT</t>
  </si>
  <si>
    <t>STRAWS JUMBO 7.75 TRANSLUCENT 12000 COUNT</t>
  </si>
  <si>
    <t>STRAWS JUMBO WRAPPED 2000 COUNT</t>
  </si>
  <si>
    <t>KNIFE POLYSTYRENE HEAVY WEIGHT CHAMPAGNE 1000 COUNT</t>
  </si>
  <si>
    <t>DIXIE KNIFE HEAVYWEIGHT POLYSTYRENE WHITE 7.5 1000 COUNT</t>
  </si>
  <si>
    <t>KNIFE POLYSTYRENE HEAVY WEIGHT BLACK 1000 COUNT</t>
  </si>
  <si>
    <t>PATHWAYS TRYS ONE POUND 4 CASE 250 COUNT</t>
  </si>
  <si>
    <t>KOLD-LOK FREEZER PAPER 15X1100 1100 FOOT</t>
  </si>
  <si>
    <t>KOLD-LOK FREEZER PAPER 18X1100 1100 FOOT</t>
  </si>
  <si>
    <t>PATHWAY TRYS 2 POUND 4 CASE 250 COUNT</t>
  </si>
  <si>
    <t>TRAY KL200 2 POUND 4/250 WHITE 1000 COUNT</t>
  </si>
  <si>
    <t>FREEZER PAPER 24X 1100FT WHITE 1100 FOOT</t>
  </si>
  <si>
    <t>PATHWAY TRAY .25 POUND 4 CASE 250 COUNT</t>
  </si>
  <si>
    <t>PATHWAYS TRAY 3 POUND 2 CASE 250 COUNT</t>
  </si>
  <si>
    <t>KNIFE POLYSTYRENE HEAVY MEDIUM WEIGHT CHAMPAGNE 1000 COUNT</t>
  </si>
  <si>
    <t>DIXIE KNIFE MEDIUM WEIGHT POLYSTYRENE WHITE 7 1000 COUNT</t>
  </si>
  <si>
    <t>DIXIE KNIFE MEDIUM WEIGHT POLYSTYRENE BLACK 7 1000 COUNT</t>
  </si>
  <si>
    <t>DIXIE PAN LINER LIFTOFF 16.375X24.375 GREASEPROOF WHITE 1000 COUNT</t>
  </si>
  <si>
    <t>QUILT-RAP DIXIE 12X12 2500 COUNT</t>
  </si>
  <si>
    <t>QUILT-RAP INSULATED WRAP 14X16 1000 COUNT</t>
  </si>
  <si>
    <t>TEASPOON POLYSTYRENE WHITE 1000 COUNT</t>
  </si>
  <si>
    <t>MARDI GRAS BOWL 12 OUNCE 1000 COUNT</t>
  </si>
  <si>
    <t>MARDI GRAS PAPER PLATE 8 5/8 WHITE 500 COUNT</t>
  </si>
  <si>
    <t>DIXIE SOUFFLE CUP PLASTIC 1 OUNCE TRANSLUCENT 24 CASE 200 COUNT</t>
  </si>
  <si>
    <t>DIXIE SOUFFLE CUP PLASTIC 2 OUNCE BLACK 12 CASE 200 COUNT</t>
  </si>
  <si>
    <t>DIXIE SOUFFLE CUP PLASTIC 2 OUNCE TRANSLUCENT 2400 COUNT</t>
  </si>
  <si>
    <t>DIXIE SOUFFLE CUP PLASTIC 3.25 OZ BLACK 12 CASE 200 COUNT</t>
  </si>
  <si>
    <t>DIXIE SOUFFLE CUP PLASTIC 3.25 OZ TRANSLUCENT 12 CASE 2400 COUNT</t>
  </si>
  <si>
    <t>DIXIE SOUFFLE CUP PLASTIC 4 OZ BLACK 12 CASE 200 COUNT</t>
  </si>
  <si>
    <t>DIXIE SOUFFLE CUP PLASTIC 4 OZ TRANSLUCENT 12 CASE 200 COUNT</t>
  </si>
  <si>
    <t>DOME LID TRAVEL 12-16 OUNCE BLACK 1000 COUNT</t>
  </si>
  <si>
    <t>FORK POLYPROPYLENE BLACK 1000 COUNT</t>
  </si>
  <si>
    <t>DIXIE FORK MEDIUM WEIGHT POLYPROPYLENE WHITE 6 1000 COUNT</t>
  </si>
  <si>
    <t>DIXIE PIZZA SHEET 35# PARCHMENT 12X12 WHITE 1000 COUNT</t>
  </si>
  <si>
    <t>KNIFE POLYPROPYLENE BLACK 1000 COUNT</t>
  </si>
  <si>
    <t>DIXIE SOUFFLE CUP LID .75/1.25Z CLEAR 24 CASE 200 COUNT</t>
  </si>
  <si>
    <t>DIXIE SOUFFLE CUP LID 1.5/2.5OZ TRANSLUCENT 24 CASE 100 COUNT</t>
  </si>
  <si>
    <t>DIXIE SOUFFLE CUP LID 1.5/2.5 OUNCE CLEAR 24 CASE 100 COUNT</t>
  </si>
  <si>
    <t>DIXIE SOUFFLE CUP LID 3.25/4 OUNCE TRANSLUCENT 24 CASE 100 COUNT</t>
  </si>
  <si>
    <t>DIXIE SOUFFLE CUP LID 3.25/4 OUNCE CLEAR 24 CASE 100 COUNT</t>
  </si>
  <si>
    <t>PIZZA PILLAR MEDIUM WEIGHT 1000 COUNT</t>
  </si>
  <si>
    <t>TEASPOON POLYPROPYLENE HEAVY WEIGHT BLACK 1000 COUNT</t>
  </si>
  <si>
    <t>DIXIE TEASPOON MEDIUM WEIGHT POLYPROPYLENE WHITE 5.75 1000 COUNT</t>
  </si>
  <si>
    <t>KANT LEEK FOOD TRAY RED PLAID ONE POUND 1000 COUNT</t>
  </si>
  <si>
    <t>KANT LEEK FOOD TRAY RED PLAID 2 POUND 1000 COUNT</t>
  </si>
  <si>
    <t>KANT LEEK FOOD TRAY RED PLAID 2.5 POUND 500 COUNT</t>
  </si>
  <si>
    <t>KANT LEEK FOOD TRAY RED PLAID .25 POUND 1000 COUNT</t>
  </si>
  <si>
    <t>KANT LEEK FOOD TRAY RED PLAID 3 POUND 500 COUNT</t>
  </si>
  <si>
    <t>KANT LEEK FOOD TRAY RED PLAID 6 OZ 1000 COUNT</t>
  </si>
  <si>
    <t>KANT LEEK FOOD TRAY RED PLAID .5 POUND 1000 COUNT</t>
  </si>
  <si>
    <t>KANT LEEK FOOD TRAY RED PLAID 5 POUND 500 COUNT</t>
  </si>
  <si>
    <t>RITE-WRAP DELI PAPER INTERFOLDED 10X10.75 6000 COUNT</t>
  </si>
  <si>
    <t>RITE-WRAP DELI PAPER INTERFOLDED 12X10.75 6000 COUNT</t>
  </si>
  <si>
    <t>RITE-WRAP DELI PAPER INTERFOLDED 15X10.75 6000 COUNT</t>
  </si>
  <si>
    <t>RITE WRAP DIXIE INTERFOLDED 6X10.75 6000 COUNT</t>
  </si>
  <si>
    <t>RITE-WRAP DELI PAPER INTERFOLDED 8X10.75 6000 COUNT</t>
  </si>
  <si>
    <t>SATIN-PAC DELI FILM INTERFOLDED 8X10.75 10000 COUNT</t>
  </si>
  <si>
    <t>DIXIE PIZZA CARTON SINGLE SLICE SMALL PIZZA PRINT 7.25X6X1.25 500 COUNT</t>
  </si>
  <si>
    <t>CARRY OUT CARTON LARGE PIZZA SLICE 200 COUNT</t>
  </si>
  <si>
    <t>SOUP SPOON POLYSTYRENE HEAVY WEIGHT CHAMPAGNE 1000 COUNT</t>
  </si>
  <si>
    <t>SOUP SPOON POLYSTYRENE HEAVY WEIGHT WHITE 1000 COUNT</t>
  </si>
  <si>
    <t>DIXIE SOUPSPOON HEAVYWEIGHT POLYSTRENE BLACK 5.75 24 CASE 100 COUNT</t>
  </si>
  <si>
    <t>SOUP SPOON POLYSTYRENE HEAVY MEDIUM WEIGHT CHAMPAGNE 1000 COUNT</t>
  </si>
  <si>
    <t>DIXIE SOUPSPOON MEDIUM WEIGHT POLYSTYRENE WHITE 5.75 1000 COUNT</t>
  </si>
  <si>
    <t>DIXIE SOUPSPOON MEDIUM WEIGHT POLYSTYRENE BLACK 5.75 1000 COUNT</t>
  </si>
  <si>
    <t>SMARTSTOCK FORK MEDIUM WEIGHT POLYPROPYLENE WHITE 960 COUNT</t>
  </si>
  <si>
    <t>SMARTSTOCK FORK REFILL BLACK 960 COUNT</t>
  </si>
  <si>
    <t>SMARTSTOCK FLATWARE DISPOSABLE WHITE KNIFE 960 COUNT</t>
  </si>
  <si>
    <t>SMARTSTOCK KNIFE REFILL BLACK 960 COUNT</t>
  </si>
  <si>
    <t>SMARTSTOCK FLATWARE DISPOSABLE WHITE SPOON 960 COUNT</t>
  </si>
  <si>
    <t>SMARTSTOCK SPOON REFILL BLACK 960 COUNT</t>
  </si>
  <si>
    <t>FREEZER PAPER 15X1000 WHITE 1000 FOOT</t>
  </si>
  <si>
    <t>PATHWAYS BOWL 12 OUNCE 8 CASE 125 COUNT</t>
  </si>
  <si>
    <t>PATHWAYS PLATE 5.63 8 CASE 125 COUNT</t>
  </si>
  <si>
    <t>PATHWAY PLATE 10.06 4 CASE 125 COUNT</t>
  </si>
  <si>
    <t>PATHWAY PLATE 8.5 4 CASE 125 COUNT</t>
  </si>
  <si>
    <t>TISSUE PAK BAKERY TISSUE INTERFOLDED 6X10.75 WHITE 10000 COUNT</t>
  </si>
  <si>
    <t>LIDS 12/16OZ WHITE 1000 COUNT</t>
  </si>
  <si>
    <t>DIXIE TEASPOON HEAVYWEIGHT POLYSTRENE WHITE 6 1000 COUNT</t>
  </si>
  <si>
    <t>DIXIE TEASPOON HEAVYWEIGHT POLYSTRENE BLACK 6 1000 COUNT</t>
  </si>
  <si>
    <t>DIXIE TEASPOON MEDIUM WEIGHT POLYSTYRENE CHAMPAGNE 5.875 1000 COUNT</t>
  </si>
  <si>
    <t>DIXIE TEASPOON MEDIUM WEIGHT POLYSTYRENE WHITE 5.875 1000 COUNT</t>
  </si>
  <si>
    <t>DIXIE TEASPOON MEDIUM WEIGHT POLYSTYRENE BLACK 5.875 1000 COUNT</t>
  </si>
  <si>
    <t>LIDS 12&amp;16 OUNCE WHITE 2 PIECES 1000 COUNT</t>
  </si>
  <si>
    <t>PERFECTOUCH INSULATED 10/12/16 OUNCE RECLOSABLE DOME BLACK 1000 COUNT</t>
  </si>
  <si>
    <t>LIDS 20&amp;24 OUNCE WHITE 2 PIECES 1000 COUNT</t>
  </si>
  <si>
    <t>PATHWAYS PLATE 5.88 4 CASE 250 COUNT</t>
  </si>
  <si>
    <t>PATHWAYS PLATE 6.88 8 CASE 125 COUNT</t>
  </si>
  <si>
    <t>PATHWAYS PLATE 8.63 8 CASE 125 COUNT</t>
  </si>
  <si>
    <t>EDLUND CO.  INC.</t>
  </si>
  <si>
    <t>CAN OPENER COMPLETE WITHOUT BASE #1 1 COUNT</t>
  </si>
  <si>
    <t>OPENER CAN. MANUAL #1 1 COUNT</t>
  </si>
  <si>
    <t>OPENER CAN COMPLETE #2 1 COUNT</t>
  </si>
  <si>
    <t>CAN OPENER ELECTRIC 2 SPEED 1 EACH</t>
  </si>
  <si>
    <t>CAN.OPN ELECTRIC STAINLESS STEEL ONE SPADE 1 EACH</t>
  </si>
  <si>
    <t>TONG STAINLESS STEEL HEAVY DUTY 12 INCH 1 COUNT</t>
  </si>
  <si>
    <t>TONG HINGED STAINLESS STEEL 16 1 EACH</t>
  </si>
  <si>
    <t>KNIFE SHARPENER ELECTRIC 1 EACH</t>
  </si>
  <si>
    <t>TONG HAND STAINLESS STEEL 9 HEAVY DUTY 1 COUNT</t>
  </si>
  <si>
    <t>TONG STAINLESS STEEL HEAVY DUTY 9 W/LOCK 1 COUNT</t>
  </si>
  <si>
    <t>TONG STAINLESS STEEL 12 INCH HEAVY DUTY W/LOCK 1 COUNT</t>
  </si>
  <si>
    <t>CAN. PUNCH #50 NICKEL PLATE 1 COUNT</t>
  </si>
  <si>
    <t>SCALE DIGITAL STAINLESS STEEL HEAVY DUTY WITH RECHARGEABLE BATTERY 1 COUNT</t>
  </si>
  <si>
    <t>TONG STAINLESS STEEL 16 GRIP FLAT PADDLE 1 COUNT</t>
  </si>
  <si>
    <t>SCALE DELUXE INSTANT READI 1 COUNT</t>
  </si>
  <si>
    <t>SCALE 160 OUNCE DIGITAL PORTION CONTROL 1 COUNT</t>
  </si>
  <si>
    <t>GEAR CAN. OPENER FOR #1 1 EACH</t>
  </si>
  <si>
    <t>GEAR FOR #2 CAN OPENER 1 EACH</t>
  </si>
  <si>
    <t>GEAR PART ELECTRIC CAN OPENER 1 COUNT</t>
  </si>
  <si>
    <t>CAN. OPENER GEAR FOR.S/11 1 EACH</t>
  </si>
  <si>
    <t>KNIFE FOR #1 CAN. OPENER 1 EACH</t>
  </si>
  <si>
    <t>KNIFE FOR #2 CAN. OPENER 1 EACH</t>
  </si>
  <si>
    <t>CAN OPENER KNIFE FOR. ELECTRIC 1 COUNT</t>
  </si>
  <si>
    <t>CAN. OPNR KNIFE BLADE #S/11 1 EACH</t>
  </si>
  <si>
    <t>RACK KNIFE WALL MOUNT 1 EACH</t>
  </si>
  <si>
    <t>CAN OPENER STAINLESS STEEL WITH BASE 1 COUNT</t>
  </si>
  <si>
    <t>SCALE STANDARD 32 OUNCE 1 COUNT</t>
  </si>
  <si>
    <t>SCALE STAINLESS STEEL 25LBX 4 OZ 1 COUNT</t>
  </si>
  <si>
    <t>SCALE 5# EXTRA 1 OUNCE 1 COUNT</t>
  </si>
  <si>
    <t>OPENER CAN MANUAL QUICK CHANGE 1 COUNT</t>
  </si>
  <si>
    <t>EMI YOSHI INC.</t>
  </si>
  <si>
    <t>SERVING FORK BLACK 144 EACH</t>
  </si>
  <si>
    <t>SERVING SPOON BLACK 144 EACH</t>
  </si>
  <si>
    <t>SERVING SPOON CLEAR 144 EACH</t>
  </si>
  <si>
    <t>CAKE CUTTER LIFTER BLACK 48 EACH</t>
  </si>
  <si>
    <t>TONGS 9 BLACK 48 EACH</t>
  </si>
  <si>
    <t>7 TONG BLACK 48 EACH</t>
  </si>
  <si>
    <t>OVAL BOWL LID SMALL CLEAR 50 EACH</t>
  </si>
  <si>
    <t>9 TONG HEAVY TONG BLACK 100 EACH</t>
  </si>
  <si>
    <t>12 INCH ROUND DELI MATE BLACK 25 EACH</t>
  </si>
  <si>
    <t>16 ROUND DELI MATE BLACK 25 EACH</t>
  </si>
  <si>
    <t>18 ROUND DELI MATE BLACK 25 EACH</t>
  </si>
  <si>
    <t>12 INCH LID ROUND 25 EACH</t>
  </si>
  <si>
    <t>12 INCH ROUND LID CLEAR 25 EACH</t>
  </si>
  <si>
    <t>16 LID ROUND CLEAR 25 EACH</t>
  </si>
  <si>
    <t>18 LID ROUND CLEAR 25 EACH</t>
  </si>
  <si>
    <t>18 ROUND LID CLEAR 25 EACH</t>
  </si>
  <si>
    <t>12 INCH ROUND DELI MAX BLACK 25 EACH</t>
  </si>
  <si>
    <t>16 ROUND DELI MAX BLACK 25 EACH</t>
  </si>
  <si>
    <t>18 ROUND DELI MAX BLACK 25 EACH</t>
  </si>
  <si>
    <t>CATERERS COLLECTION 6 PLATE 240 EACH</t>
  </si>
  <si>
    <t>CATERERS COLLECTION 9 PLATE CLEAR 240 EACH</t>
  </si>
  <si>
    <t>10 OUNCE TUMBLER CLEAR 500 EACH</t>
  </si>
  <si>
    <t>12 OUNCE TUMBLER CLEAR 500 EACH</t>
  </si>
  <si>
    <t>5 OUNCE SQUAT TUMBLER CLEAR 500 EACH</t>
  </si>
  <si>
    <t>8 OUNCE TUMBLER CLEAR 500 EACH</t>
  </si>
  <si>
    <t>9 OUNCE SQUAT TUMBLER CLEAR 500 EACH</t>
  </si>
  <si>
    <t>GLIMMERWARE DINNER PLATE 10 INCH BONE AND GOLD 12 CASE 12 EACH</t>
  </si>
  <si>
    <t>GLIMMERWARE DINNER PLATE 10 INCH WHITE AND SILVER 12 CASE 10 EACH</t>
  </si>
  <si>
    <t>GLIMMERWARE PLATE DESSERT 6 WHITE AND SILVER 12 CASE 10 EACH</t>
  </si>
  <si>
    <t>PARTY BOMBERS 500 EACH</t>
  </si>
  <si>
    <t>LID PREPSERVE 10 INCH DIAMETER CLEAR 25 EACH</t>
  </si>
  <si>
    <t>LID PREPSERVE FIT 160OZ CLEAR 25 EACH</t>
  </si>
  <si>
    <t>BOWL PREPSERVE 160OZ BLACK 25 EACH</t>
  </si>
  <si>
    <t>80 OUNCE PREPSERVE BOWL BLACK 25 EACH</t>
  </si>
  <si>
    <t>4 OUNCE OLD FASHIONED CHAMPAGNE GLASS 500 EACH</t>
  </si>
  <si>
    <t>PLATE RESPOSABLE 10 INCH CLEAR 144 EACH</t>
  </si>
  <si>
    <t>PLATE RESPOSABLE 7.5 WHITE 180 EACH</t>
  </si>
  <si>
    <t>5 OUNCE WINE GLASS INSTITUTIONAL PACK 500 EACH</t>
  </si>
  <si>
    <t>SQUARE SERVING BOWL 128 OUNCE CLEAR 25 EACH</t>
  </si>
  <si>
    <t>SQUARE 16 OUNCE SERVING BOWL BLACK 12 CASE 4 COUNT</t>
  </si>
  <si>
    <t>SQUARE SERVING BOWL 64 OUNCE CLEAR 50 EACH</t>
  </si>
  <si>
    <t>SQUARE 8 OUNCE SERVING BOWL BLACK 12 CASE 4 COUNT</t>
  </si>
  <si>
    <t>LID PET PLASTIC SQUARE 8 OUNCE CLEAR 2 CASE 50 COUNT</t>
  </si>
  <si>
    <t>5 OUNCE ONE PIECE SQUARE CHAMPAGNE GLASS 72 EACH</t>
  </si>
  <si>
    <t>8 OUNCE ONE PIECE SQUARE MARTINI GLASS 72 EACH</t>
  </si>
  <si>
    <t>SQUARES 10.75 DINNER PLATE BLACK 120 EACH</t>
  </si>
  <si>
    <t>SQUARES 10.75 DINNER PLATE WHITE 120 EACH</t>
  </si>
  <si>
    <t>SQUARES 6.5 DESSERT PLATE BLACK 120 EACH</t>
  </si>
  <si>
    <t>SQUARES 6.5 DESSERT PLATE WHITE 120 EACH</t>
  </si>
  <si>
    <t>SQUARES 8 INCH SALAD PLATE BLACK 120 EACH</t>
  </si>
  <si>
    <t>PLATE SQUARE SALAD 8 INCH WHITE 120 EACH</t>
  </si>
  <si>
    <t>SQUARES 9 1/2 INCHES DINNER PLATE BLACK 120 EACH</t>
  </si>
  <si>
    <t>SQUARES 9 1/2 INCHES DINNER PLATE WHITE 120 EACH</t>
  </si>
  <si>
    <t>10 OUNCE EXTRA HEAVY WEIGHT SQUARE TUMBLER 168 EACH</t>
  </si>
  <si>
    <t>16OZ EXTRA HEAVY WEIGHT SQUARE TUMBLER CLEAR 168 EACH</t>
  </si>
  <si>
    <t>8 OUNCE ONE PIECE SQUARE WINE GLASS 72 EACH</t>
  </si>
  <si>
    <t>BUFFET PLATE WITH WINE BLACK 120 EACH</t>
  </si>
  <si>
    <t>SALAD PLATE TRIANGLE CLEAR 120 EACH</t>
  </si>
  <si>
    <t>6 DESSERT PLATE CLEAR 250 PACK 250 EACH</t>
  </si>
  <si>
    <t>CLEAR WARE 9 DINNER PLATE CLEAR 250 EACH</t>
  </si>
  <si>
    <t>CLEAR WARE ONE OUNCE SHOT GLASS 2500 EACH</t>
  </si>
  <si>
    <t>EVERGREEN MFG.</t>
  </si>
  <si>
    <t>REGISTER ROLL 2.25 80' THERMAL 50 COUNT</t>
  </si>
  <si>
    <t>REGISTER ROLL 44MM 165' BOND 5 CASE 10 COUNT</t>
  </si>
  <si>
    <t>REGISTER ROLL 3 INCH 165' BOND 3 CASE 10 COUNT</t>
  </si>
  <si>
    <t>REGISTER ROLL 3.13 200'S THERMAL 3 CASE 10 COUNT</t>
  </si>
  <si>
    <t>PAPER BANDS NAPKIN 4.25X1.5 WHITE 8 CASE 2500 COUNT</t>
  </si>
  <si>
    <t>NAPKIN BANDS PAPER REFLEX BLUE 4.25X1.5 8 CASE 2500 COUNT</t>
  </si>
  <si>
    <t>PAPER BANDS NAPKIN 4.25X1.5HTG 8 CASE 2500 COUNT</t>
  </si>
  <si>
    <t>PAPER BANDS NAPKIN 4.25X1.5BUR 8 CASE 2500 COUNT</t>
  </si>
  <si>
    <t>PAPER BANDS NAPKIN 4.25X1.5 RED 8 CASE 2500 COUNT</t>
  </si>
  <si>
    <t>PAPER BANDS NAPKIN 4.25X1.5BLK 8 CASE 2500 COUNT</t>
  </si>
  <si>
    <t>VICTORINOX</t>
  </si>
  <si>
    <t>KNIFE PARING STRAIGHT 3.25 1 EACH</t>
  </si>
  <si>
    <t>KNIFE UTILITY STRAIGHT 4.75 1 EACH</t>
  </si>
  <si>
    <t>KNIFE UTILITY WAVY 4.75 1 EACH</t>
  </si>
  <si>
    <t>KNIFE PARING CURVED POINT 2.5 1 EACH</t>
  </si>
  <si>
    <t>KNIFE BONING NARROW 6 BLADE 1 EACH</t>
  </si>
  <si>
    <t>KNIFE CHEF'S CHOICE 8 INCH BLADE 1 EACH</t>
  </si>
  <si>
    <t>KNIFE CHEF'S CHOICE 10 INCH BLADE 1 EACH</t>
  </si>
  <si>
    <t>KNIFE CHEF'S CHOICE 12 INCH BLADE 1 EACH</t>
  </si>
  <si>
    <t>KNIFE CHEF'S CHOICE WAVY 10 INCH BLADE 1 EACH</t>
  </si>
  <si>
    <t>KNIFE CHEF'S CHOICE WAVY 7.5 BLADE 1 EACH</t>
  </si>
  <si>
    <t>KNIFE BREAD 10.25 BLADE 1 EACH</t>
  </si>
  <si>
    <t>KNIFE STEEL 12 INCH REGULAR CUT 1 EACH</t>
  </si>
  <si>
    <t>KNIFE STEEL 14 REGULAR CUT 1 EACH</t>
  </si>
  <si>
    <t>FORK CARVING 10.5 1 EACH</t>
  </si>
  <si>
    <t>KNIFE UTILITY STRAIGHT EDGE 4 BLADE 1 EACH</t>
  </si>
  <si>
    <t>KNIFE BONING 6 STRAIGHT EDGE 1 EACH</t>
  </si>
  <si>
    <t>KNIFE BREAD 7 BLADE 1 EACH</t>
  </si>
  <si>
    <t>KNIFE BREAD 8 INCH BLADE 1 EACH</t>
  </si>
  <si>
    <t>KNIFE STEEL 12 INCH OVAL 1 EACH</t>
  </si>
  <si>
    <t>KNIFE STEEL 14 ROUND REGULAR 1 EACH</t>
  </si>
  <si>
    <t>KNIFE PARER STRAIGHT EDGE 3.25' 1 EACH</t>
  </si>
  <si>
    <t>KNIFE PARER WAVY 3.25 1 EACH</t>
  </si>
  <si>
    <t>SLICER WAVY EDGE 10 INCH BLADE 1 EACH</t>
  </si>
  <si>
    <t>SLICER GRANTON EDGE 12 INCH BLADE 1 EACH</t>
  </si>
  <si>
    <t>KNIFE SLICER 14 GRANTON 1 EACH</t>
  </si>
  <si>
    <t>STONE COMBO QUICK CUT FINE &amp; COURSE 1 EACH</t>
  </si>
  <si>
    <t>SHEARS KITCHEN 3 INCH 1 EACH</t>
  </si>
  <si>
    <t>SET KNIFE 12 PIECES 1 EACH</t>
  </si>
  <si>
    <t>KIT GARNISH 6 PC. SET 1 EACH</t>
  </si>
  <si>
    <t>KNIFE SANTOKO FOR 7 1 EACH</t>
  </si>
  <si>
    <t>KNIFE MINI CHEF 5 INCH 1 EACH</t>
  </si>
  <si>
    <t>KNIFE CHEF FOR 10 INCH 1 EACH</t>
  </si>
  <si>
    <t>GLOVE ULTIMATE SHIELD MEDIUM 1 EACH</t>
  </si>
  <si>
    <t>GLOVE ULTIMATE SHIELD LARGE 1 EACH</t>
  </si>
  <si>
    <t>GLOVE CUT RESISTANT PERFORMANCE SHIELD SMALL 1 EACH</t>
  </si>
  <si>
    <t>GLOVE PERFORMANCE SHIELD MEDIUM 1 EACH</t>
  </si>
  <si>
    <t>GLOVE PERFORATED SHIELD LARGE 1 EACH</t>
  </si>
  <si>
    <t>GLOVE CUT RESISTANT PERFORMANCE SHIELD EXTRA LARGE 1 EACH</t>
  </si>
  <si>
    <t>RECKITT BENCKISER CLEANING</t>
  </si>
  <si>
    <t>DISINFECTANT LYSOL SPRAY COUNTRY SCENT 12 CASE 19 OUNCE</t>
  </si>
  <si>
    <t>CLEANER LYSOL TOILET BOWL 12 CASE 32 FLUID OUNCE</t>
  </si>
  <si>
    <t>CLEANER LYSOL PINE ACTION CONTAINER 4 CASE 1 GALLON</t>
  </si>
  <si>
    <t>CLEANER LYSOL DISINFECTANT FOAM AEROSOL 12 CASE 24 OUNCE</t>
  </si>
  <si>
    <t>DISINFECTANT LYSOL SPRAY ORIGINAL SCENT 12 CASE 19 OUNCE</t>
  </si>
  <si>
    <t>CLEANER LYSOL BASIN TUB &amp; TILE 12 CASE 32 FLUID OUNCE</t>
  </si>
  <si>
    <t>SANITIZER LYSOL CONTAINER 4 CASE 1 GALLON</t>
  </si>
  <si>
    <t>CLEANER LYSOL ANTIBACTERIAL ALL PURPOSE 4 CASE 1 GALLON</t>
  </si>
  <si>
    <t>CLEANER LYSOL ANTIBACTERIAL KITCHEN 12 CASE 32 FLUID OUNCE</t>
  </si>
  <si>
    <t>DISINFECTANT LYSOL SPRAY 12 CASE 24 OUNCE</t>
  </si>
  <si>
    <t>CLEANER EASY OFF OVEN AEROSOL 6 CAN 24 OUNCE</t>
  </si>
  <si>
    <t>CLEANER EASY OFF NON-CAUSTIC OVEN AND GRILL 6 CASE 24 OUNCE</t>
  </si>
  <si>
    <t>CLEANER OLD ENGLISH LEMON AEROSOL 12 CASE 12.5 OUNCE</t>
  </si>
  <si>
    <t>CLEANER EASY OFF GLASS CLEANER CONTAINER 4 CASE 1 GALLON</t>
  </si>
  <si>
    <t>OVEN AND GRILL CLEANER LIQUID EASY OFF 6 CASE 64 FLUID OUNCE</t>
  </si>
  <si>
    <t>LYSOL DISINFECTANT WIPES LEMON &amp; LIME 12 CASE 35 EACH</t>
  </si>
  <si>
    <t>CLEANER LYSOL HEAVY DUTY BATHROOM 4 CASE 1 GALLON</t>
  </si>
  <si>
    <t>G.E.T. ENTERPRISES INC.</t>
  </si>
  <si>
    <t>3 INCH BEER MUG 12 OUNCE CLEAR 2 DOZEN</t>
  </si>
  <si>
    <t>BEER MUG 16 OUNCE CLEAR 2 DOZEN</t>
  </si>
  <si>
    <t>TEXTURED 5 OUNCE 2.5 TUMBLER CLEAR 6 DOZEN</t>
  </si>
  <si>
    <t>TEXTURED 8 OUNCE TUMBLER 4 TALL CLEAR 6 DOZEN</t>
  </si>
  <si>
    <t>ROCKS GLASS 9 OUNCE CLEAR 6 DOZEN</t>
  </si>
  <si>
    <t>TEXTURED 12 OUNCE TUMBLER 5.5 TALL BLUE 2 DOZEN</t>
  </si>
  <si>
    <t>TUMBLER 12OZ 5.5 TALL CLEAR 6 DOZEN</t>
  </si>
  <si>
    <t>TUMBLER 12 OUNCE CLEAR 3 INCH 2 DOZEN</t>
  </si>
  <si>
    <t>TUMBLER 12OZ 5.5 TALL AMBER 2 DOZEN</t>
  </si>
  <si>
    <t>TUMBLER 12OZ 3 INCH 5.5 TALL RED 2 DOZEN</t>
  </si>
  <si>
    <t>3 INCH TUMBLER 12 OUNCE AMBER 6 DOZEN</t>
  </si>
  <si>
    <t>TUMBLER 12OZ 5.5 TALL RED 6 DOZEN</t>
  </si>
  <si>
    <t>TUMBLER 16OZ 5.75 TALL CLEAR 2 DOZEN</t>
  </si>
  <si>
    <t>TUMBLER 16OZ 5.75 TALL AMBER 2 DOZEN</t>
  </si>
  <si>
    <t>TUMBLER 16OZ 5.75 TALL BLUE 2 DOZEN</t>
  </si>
  <si>
    <t>TUMBLER 16OZ 5.75 TALL RED 2 DOZEN</t>
  </si>
  <si>
    <t>3.25 TUMBLER 16 OUNCE AMBER 6 DOZEN</t>
  </si>
  <si>
    <t>3.25 TUMBLER 16 OUNCE CLEAR 6 DOZEN</t>
  </si>
  <si>
    <t>3.25 TUMBLER 16 OUNCE RED 6 DOZEN</t>
  </si>
  <si>
    <t>TUMBLER 20OZ 6.5 TALL CLEAR 2 DOZEN</t>
  </si>
  <si>
    <t>3.5 TUMBLER 20 OUNCE CLEAR 6 DOZEN</t>
  </si>
  <si>
    <t>TUMBLER 20OZ 6.5 TALL BLUE 2 DOZEN</t>
  </si>
  <si>
    <t>TUMBLER 20OZ 6.5 TALL RED 2 DOZEN</t>
  </si>
  <si>
    <t>3.5 TUMBLER 20 OUNCE AMBER 6 DOZEN</t>
  </si>
  <si>
    <t>3.5 TUMBLER 20 OUNCE RED 6 DOZEN</t>
  </si>
  <si>
    <t>TUMBLER 24OZ 7 TALL RED 2 DOZEN</t>
  </si>
  <si>
    <t>3.5 TUMBLER 24 OUNCE RED 6 DOZEN</t>
  </si>
  <si>
    <t>TUMBLER 32OZ 7.25 TALL 2 DOZEN</t>
  </si>
  <si>
    <t>4 TUMBLER 32 OUNCE CLEAR 4 DOZEN</t>
  </si>
  <si>
    <t>TUMBLER TALL 32 OUNCE BLUE 4 DOZEN</t>
  </si>
  <si>
    <t>TUMBLER 9.5OZ 4.25 TALL CLEAR 2 DOZEN</t>
  </si>
  <si>
    <t>TEXTURED 9.5 OZ TUMBLER 4.25 AMBER 6 DOZEN</t>
  </si>
  <si>
    <t>TEXTURED 9.5 OZ TUMBLER 4.25 BLUE 6 DOZEN</t>
  </si>
  <si>
    <t>2.75 TUMBLER 9.5 OUNCE CLEAR 6 DOZEN</t>
  </si>
  <si>
    <t>SPECTRUM 12OZ 3 INCH TUMBLER 6 DOZEN</t>
  </si>
  <si>
    <t>SPECTRUM 20OZ 3.5 TUMBLER CLEAR 6 DOZEN</t>
  </si>
  <si>
    <t>BAHAMA TUMBLER CLEAR 9 OUNCE 6 DOZEN</t>
  </si>
  <si>
    <t>BAHAMA GLASS DOUBLE ROCKS 10 OZ 6 DOZEN</t>
  </si>
  <si>
    <t>BAHAMA DOUBLE ROCKS 12 OUNCE 6 DOZEN</t>
  </si>
  <si>
    <t>GLASS BAHAMA CLEAR 6 DOZEN</t>
  </si>
  <si>
    <t>BAHAMA TUMBLER CLEAR 16 OUNCE 6 DOZEN</t>
  </si>
  <si>
    <t>BAHAMA TUMBLER CLEAR 20 OUNCE 6 DOZEN</t>
  </si>
  <si>
    <t>BAHAMA GLASS ROCKS 5.5 OUNCE BLUE 6 DOZEN</t>
  </si>
  <si>
    <t>BAHAMA ROCKS 5.5 OUNCE 6 DOZEN</t>
  </si>
  <si>
    <t>9.25 BOWL 13 OUNCE BLACK 2 DOZEN</t>
  </si>
  <si>
    <t>11 BOWL 16 OUNCE BLACK 1 DOZEN</t>
  </si>
  <si>
    <t>4.75 BOWL 4.5 OUNCE DIAMOND IVORY 4 DOZEN</t>
  </si>
  <si>
    <t>BOWL CASCADING BLACK SAN MICHELE 6 COUNT</t>
  </si>
  <si>
    <t>BOWL CASCADING WHITE SAN MICHELE 6 COUNT</t>
  </si>
  <si>
    <t>CASCADING BOWL BLACK SAN MICHELE 6 COUNT</t>
  </si>
  <si>
    <t>SUPERMEL 8OZ BOUILLON DEEP TAN 4 DOZEN</t>
  </si>
  <si>
    <t>SUPERMEL 8OZ BOUILLON DEEP WHITE 4 DOZEN</t>
  </si>
  <si>
    <t>SANTA FE BOWL IRONSTONE 7 OUNCE 4 4 DOZEN</t>
  </si>
  <si>
    <t>SANTA FE PLATE IRONSTONE 9 2 DOZEN</t>
  </si>
  <si>
    <t>DECANTER WITH LID CLEAR ONE LITER 1 DOZEN</t>
  </si>
  <si>
    <t>SUPERMEL PLATE 3 COMPARTMENT 9 TAN 1 DOZEN</t>
  </si>
  <si>
    <t>BAKE &amp; BREW CONIC STACKING CUP 7.5 OUNCE TAN 4 DOZEN</t>
  </si>
  <si>
    <t>CONIC STACKING CUP 7.5 OUNCE 4 DOZEN</t>
  </si>
  <si>
    <t>3.75 DESSERT DISH 5 OUNCE CLEAR 4 DOZEN</t>
  </si>
  <si>
    <t>4.75 BOWL 10 OUNCE TAN 4 DOZEN</t>
  </si>
  <si>
    <t>BOWL SUPERMEL 10 OZ WHITE 2 DEEP 4 DOZEN</t>
  </si>
  <si>
    <t>5.75 RIMMED BOWL TAN 4 DOZEN</t>
  </si>
  <si>
    <t>5.25 BOWL 15 OUNCE TAN 4 DOZEN</t>
  </si>
  <si>
    <t>5.75 BOWL 16 OUNCE TAN 4 DOZEN</t>
  </si>
  <si>
    <t>4.25 RIMMED BOWL TAN 4 DOZEN</t>
  </si>
  <si>
    <t>4.25 RIMMED BOWL 3.5 OZ OUNCE WHITE 4 DOZEN</t>
  </si>
  <si>
    <t>SUPERMEL RIMMED BOWL DEEP TAN 4 DOZEN</t>
  </si>
  <si>
    <t>SUPERMEL RIMMED BOWL DEEP WHITE 4 DOZEN</t>
  </si>
  <si>
    <t>BARCELONA 2 13OZ BOWL 2 4 DOZEN</t>
  </si>
  <si>
    <t>SUPERMEL 5.5 PLATE TAN 4 DOZEN</t>
  </si>
  <si>
    <t>SUPERMEL 5.5 PLATE WHITE 4 DOZEN</t>
  </si>
  <si>
    <t>SUPERMEL 6.5 PLATE TAN 4 DOZEN</t>
  </si>
  <si>
    <t>6.5 PLATE WHITE 4 DOZEN</t>
  </si>
  <si>
    <t>7.25 PLATE TAN 2 DOZEN</t>
  </si>
  <si>
    <t>7.25 PLATE WHITE 2 DOZEN</t>
  </si>
  <si>
    <t>9 PLATE TAN 2 DOZEN</t>
  </si>
  <si>
    <t>SUPERMEL 9 PLATE WHITE 2 DOZEN</t>
  </si>
  <si>
    <t>10.25 PLATE TAN 2 DOZEN</t>
  </si>
  <si>
    <t>SUPERMEL 10.25 PLATE 2 DOZEN</t>
  </si>
  <si>
    <t>2.75 FLUTED RAMEKIN 2OZ BROWN 4 DOZEN</t>
  </si>
  <si>
    <t>2.75 FLUTED RAMEKIN 2OZ CLEAR 4 DOZEN</t>
  </si>
  <si>
    <t>2.75 FLUTED RAMEKIN 2 OUNCE WHITE 4 DOZEN</t>
  </si>
  <si>
    <t>SMOOTH RAMEKIN CLEAR 4 DOZEN</t>
  </si>
  <si>
    <t>RAMEKIN SMOOTH CLEAR 4 DOZEN</t>
  </si>
  <si>
    <t>4.25 FLUTED RAMEKIN 4 OUNCE WHITE 4 DOZEN</t>
  </si>
  <si>
    <t>RAMEKIN FLUTED CLEAR 4 DOZEN</t>
  </si>
  <si>
    <t>RAMEKIN FLUTED 2 OUNCE IVORY 4 DOZEN</t>
  </si>
  <si>
    <t>TOM COLLINS TALL 2 DOZEN</t>
  </si>
  <si>
    <t>GLASS 9 OUNCE HIGH BALL CLEAR 2 DOZEN</t>
  </si>
  <si>
    <t>HIGH CHAIR ASSEMBLED NATURAL 1 COUNT</t>
  </si>
  <si>
    <t>PLATE MEDITERRANEAN 24 COUNT</t>
  </si>
  <si>
    <t>PLATE RECTANGLE MILANO WHITE 12 COUNT</t>
  </si>
  <si>
    <t>DISPLAY TRAY BAKE AND BREW WHITE 12 COUNT</t>
  </si>
  <si>
    <t>SIDE DISH SQUARE SAN MICHELE 12 COUNT</t>
  </si>
  <si>
    <t>PLATE WHITE MILANO SQUARE 12 COUNT</t>
  </si>
  <si>
    <t>PLATE SQUARE BLACK MILANO 12 COUNT</t>
  </si>
  <si>
    <t>PLATE SQUARE WHITE MILANO 12 COUNT</t>
  </si>
  <si>
    <t>BOWL WHITE MILANO 12 COUNT</t>
  </si>
  <si>
    <t>PLATE ROUND WHITE MILANO 12 COUNT</t>
  </si>
  <si>
    <t>PLATE ROUND BLACK MILANO 6 COUNT</t>
  </si>
  <si>
    <t>PLATTER TRAY WHITE MILANO 6 COUNT</t>
  </si>
  <si>
    <t>BOWL TRAY VENETIAN 6 COUNT</t>
  </si>
  <si>
    <t>VENETIAN 3QT 13.5 BOWL 6 COUNT</t>
  </si>
  <si>
    <t>PLATE NARROW RIM DIAMOND 2 DOZEN</t>
  </si>
  <si>
    <t>BASKET OVAL RED 9.5X6 3 DOZEN</t>
  </si>
  <si>
    <t>SUPERMEL 10X6.75 OVAL PLATTER TAN 2 DOZEN</t>
  </si>
  <si>
    <t>SUPERMEL 10X6.75 OVAL PLATTER WHITE 2 DOZEN</t>
  </si>
  <si>
    <t>11.75X8.25 OVAL PLATTER TAN 2 DOZEN</t>
  </si>
  <si>
    <t>11.75X8.25 OVAL PLATTER WHITE 2 DOZEN</t>
  </si>
  <si>
    <t>64 OUNCE PITCHER TEXTURED CLEAR 1 DOZEN</t>
  </si>
  <si>
    <t>10.5 BASKET ROUND BLACK 1 DOZEN</t>
  </si>
  <si>
    <t>9 ROUND BASKET BLACK 1 DOZEN</t>
  </si>
  <si>
    <t>RAMEKIN FLUTED WHITE 4 DOZEN</t>
  </si>
  <si>
    <t>RAMEKIN SMOOTH BROWN 4 DOZEN</t>
  </si>
  <si>
    <t>RAMEKIN SMOOTH 3 OUNCE 3.19 IVORY 4 DOZEN</t>
  </si>
  <si>
    <t>3.19 SMOOTH RAMEKIN MIX COLOR 4 DOZEN</t>
  </si>
  <si>
    <t>RAMEKIN PLAIN BLACK 4 DOZEN</t>
  </si>
  <si>
    <t>4 OUNCE PLAIN RAMEKIN IVORY 4 DOZEN</t>
  </si>
  <si>
    <t>RAMEKIN FLUTED BLACK 4 DOZEN</t>
  </si>
  <si>
    <t>4 OUNCE FLUTED RAMEKIN IVORY 4 DOZEN</t>
  </si>
  <si>
    <t>SHAKER TALL CLEAR 14 OUNCE 2 DOZEN</t>
  </si>
  <si>
    <t>SHAKER TALL CLEAR 16 OUNCE SHAMROCK 2 DOZEN</t>
  </si>
  <si>
    <t>RAMEKIN 1.5 OUNCE BLACK 4 DOZEN</t>
  </si>
  <si>
    <t>2 OUNCE RAMEKIN IVORY 4 DOZEN</t>
  </si>
  <si>
    <t>RAMEKIN COBALT BLUE 4 DOZEN</t>
  </si>
  <si>
    <t>3 OUNCE CONED SHAPED RAMEKIN BLACK 4 DOZEN</t>
  </si>
  <si>
    <t>3.5X2.5 PLASTIC SUGAR CADDY BLACK 2 DOZEN</t>
  </si>
  <si>
    <t>SALSA DISH BLACK 4 DOZEN</t>
  </si>
  <si>
    <t>MUG SINGLE HANDLE 8 OUNCE CLEAR 2 DOZEN</t>
  </si>
  <si>
    <t>REPLACEMENT STRAPS FOR HIGH CHAIR 1 COUNT</t>
  </si>
  <si>
    <t>GLASS CHAMPAGNE 6 OUNCE CLEAR 2 DOZEN</t>
  </si>
  <si>
    <t>GLASS MARTINI 6 OUNCE 4.25 CLEAR 2 DOZEN</t>
  </si>
  <si>
    <t>TALL WINE 2 DOZEN</t>
  </si>
  <si>
    <t>SHOOTER TALL CLEAR 2 DOZEN</t>
  </si>
  <si>
    <t>SHOT GLASS CLEAR 2 DOZEN</t>
  </si>
  <si>
    <t>SUPER MARTINI TALL 3 COUNT</t>
  </si>
  <si>
    <t>ROC N' ROLL 9 OUNCE 3.38 CLEAR 2 DOZEN</t>
  </si>
  <si>
    <t>BEVERAGE TALL 2 DOZEN</t>
  </si>
  <si>
    <t>SHOT GLASS 1OZ 2 2.75 TALL 2 DOZEN</t>
  </si>
  <si>
    <t>SHOOTER 1OZ 2.75 3 INCH CLEAR 4 DOZEN</t>
  </si>
  <si>
    <t>12 INCH TORTILLA SERVER BLACK 1 DOZEN</t>
  </si>
  <si>
    <t>STAND TRAY HARDWOOD 3 1/2H 1 EACH</t>
  </si>
  <si>
    <t>GALLI GREEN PTA</t>
  </si>
  <si>
    <t>GENESIS GREASE TRAP TREATMENT 4 OZ POUCH 30 COUNT</t>
  </si>
  <si>
    <t>GENESIS TRIPLE T CLEANER RESTROOM 12 CASE 32 OUNCE</t>
  </si>
  <si>
    <t>GENESIS AOC ODOR CONTROL ADVANCE 12 CASE 32 OUNCE</t>
  </si>
  <si>
    <t>1.5 GALLON FREEZER BAG RECLOSABLE 4 CASE 250 COUNT</t>
  </si>
  <si>
    <t>ONE PINT BAG RECLOSABLE 8 CASE 250 COUNT</t>
  </si>
  <si>
    <t>BOUFFANT CAP NON WOVEN 19 WHITE 10 CASE 100 COUNT</t>
  </si>
  <si>
    <t>PLATE 6 FLUTED RIM SUGARCANE 500 COUNT</t>
  </si>
  <si>
    <t>PLATE 9 DEEP WELL SUGARCANE 500 COUNT</t>
  </si>
  <si>
    <t>PLATE 10 INCH DEEP WELL SUGARCANE 500 COUNT</t>
  </si>
  <si>
    <t>PLATE 10 INCH DEEP 3 COMPARTMENT SUGARCANE 500 COUNT</t>
  </si>
  <si>
    <t>SUGARCANE BOWL WIDE RIM SOUP 12 OUNCE 500 COUNT</t>
  </si>
  <si>
    <t>PLATTER 10 INCH OVAL DEEP SUGARCANE 500 COUNT</t>
  </si>
  <si>
    <t>WOODEN FORK TWO PRONG 5.5 10 CASE 1000 COUNT</t>
  </si>
  <si>
    <t>SKEWER WOODEN 10 INCH 3 CASE 500 COUNT</t>
  </si>
  <si>
    <t>CONTAINER HINGED LID 6 SUGARCANE 200 COUNT</t>
  </si>
  <si>
    <t>CONTAINER HINGED LID 9 SUGARCANE 200 COUNT</t>
  </si>
  <si>
    <t>HINGED CONTAINER WITH LID 9 3 COMPARTMENT SUGARCANE 200 COUNT</t>
  </si>
  <si>
    <t>PARASOL UMBRELLA PICK. 10 CASE 144 COUNT</t>
  </si>
  <si>
    <t>ROUND HOTELS PICK. 24 CASE 800 COUNT</t>
  </si>
  <si>
    <t>BAMBOO SKEWER 12 INCH 6 CASE 100 COUNT</t>
  </si>
  <si>
    <t>WOODEN POPSICLE STICK 4.5 50 CASE 200 COUNT</t>
  </si>
  <si>
    <t>OVERSEAS CAP PAPER WHITE 10 CASE 100 COUNT</t>
  </si>
  <si>
    <t>OVERSEAS CAP PAPER WHITE WITH BLUE STRIPE 10 CASE 100 COUNT</t>
  </si>
  <si>
    <t>CHEF HAT PLEATED WHITE 7 FLAT PACK 4 CASE 25 COUNT</t>
  </si>
  <si>
    <t>CHEF HAT PLEATED WHITE 9FTPK 4 CASE 25 COUNT</t>
  </si>
  <si>
    <t>CHEF HAT PLEATED 10 INCH FLAT PACK 4 CASE 25 COUNT</t>
  </si>
  <si>
    <t>WOODEN ICE CREAM SPOON 3 INCH WRAPPED 100 CASE 100 COUNT</t>
  </si>
  <si>
    <t>PLATE 7 DEEP WELL CORNSTARCH 250 COUNT</t>
  </si>
  <si>
    <t>PLATE 9 DEEP WELL CORNSTARCH 250 COUNT</t>
  </si>
  <si>
    <t>PLATE 10 INCH DEEP WELL CORNSTARCH 250 COUNT</t>
  </si>
  <si>
    <t>PLATE 10 INCH 3 COMPARTMENT DEEP CORNSTARCH 250 COUNT</t>
  </si>
  <si>
    <t>CORNSTARCH FORK DINNER NATURAL 1000 COUNT</t>
  </si>
  <si>
    <t>CORNSTARCH KNIFE DINNER NATURAL 1000 COUNT</t>
  </si>
  <si>
    <t>CORNSTARCH SPOON SOUP NATURAL 1000 COUNT</t>
  </si>
  <si>
    <t>CORNSTARCH TEASPOON NATURAL 1000 COUNT</t>
  </si>
  <si>
    <t>FORK DINNER BLACK CORNSTARCH 1000 COUNT</t>
  </si>
  <si>
    <t>CORNSTARCH KNIFE DINNER BLACK 1000 COUNT</t>
  </si>
  <si>
    <t>SPOON SOUP BLACK CORNSTARCH 1000 COUNT</t>
  </si>
  <si>
    <t>CORNSTARCH TEASPOON BLACK 1000 COUNT</t>
  </si>
  <si>
    <t>PORTION CUP CLEAR WITH LID 2 OUNCE PLA. 1000 COUNT</t>
  </si>
  <si>
    <t>HOT DRINK PAPER CUP 12OZ DOUBLE WALL COMBO 300 SET</t>
  </si>
  <si>
    <t>PAPER SLEEVE FOR COFFEE CUP 600 COUNT</t>
  </si>
  <si>
    <t>GEORGIA PACIFIC COMMERCIAL</t>
  </si>
  <si>
    <t>PREFERENCE BATH TISSUE EMBOSSED 2 PLY WHITE 80 ROLL</t>
  </si>
  <si>
    <t>ROLL MASTER TISSUE 2 PLY 48 ROLL</t>
  </si>
  <si>
    <t>COMPACT CORELESS BATH TISSUE HIGH CAPACITY SMALL ROLL 2 PLY 36 ROLL</t>
  </si>
  <si>
    <t>PACIFIC BLUE FACIAL TISSUE 3000 COUNT</t>
  </si>
  <si>
    <t>PACIFIC BLUE TOWEL C-FOLD WHITE 2400 COUNT</t>
  </si>
  <si>
    <t>PACIFIC BLUE TOWEL ROLL BROWN 12 ROLL</t>
  </si>
  <si>
    <t>PACIFIC BLUE TOWEL M FOLD WHITE 4000 COUNT</t>
  </si>
  <si>
    <t>PACIFIC BLUE TOWEL M FOLD BROWN 4000 COUNT</t>
  </si>
  <si>
    <t>PACIFIC BLUE BEVERAGE NAPKIN 9.5X9.5 4000 COUNT</t>
  </si>
  <si>
    <t>PACIFIC BLUE TOWEL C PULL WHITE 3120 COUNT</t>
  </si>
  <si>
    <t>PACIFIC BLUE NAPKIN DISPENSER 13X12 WHITE 7200 COUNT</t>
  </si>
  <si>
    <t>PACIFIC BLUE TOWEL S FOLD BROWN 4000 COUNT</t>
  </si>
  <si>
    <t>PACIFIC BLUE BATH TISSUE JUMBO 2 PLY 8 ROLL</t>
  </si>
  <si>
    <t>PACIFIC BLUE TOWEL ROLL WHITE 6 ROLL</t>
  </si>
  <si>
    <t>PACIFIC BLUE TOWEL ROLL BROWN 6 ROLL</t>
  </si>
  <si>
    <t>PACIFIC BLUE DINNER NAPKIN 16X16 1 PLY 8 ROLL</t>
  </si>
  <si>
    <t>PACIFIC BLUE DINNER NAPKIN 17X15 3000 COUNT</t>
  </si>
  <si>
    <t>PACIFIC BLUE TOWEL ROLL WHITE 30 ROLL</t>
  </si>
  <si>
    <t>PACIFIC BLUE BATH TISSUE STANDARD 2 PLY 80 ROLL</t>
  </si>
  <si>
    <t>BRAWNY DINE-A-WIPE TOWEL BUSING BLUE/WHITE 330 COUNT</t>
  </si>
  <si>
    <t>BRAWNY DINE-A-MAX TOWEL FOOD PREP WHITE/GREEN 150 COUNT</t>
  </si>
  <si>
    <t>BRAWNY DINE-A-MAX TOWEL FOOD PREP WHITE/RED 150 COUNT</t>
  </si>
  <si>
    <t>EASYNAP INTERFOLDED EMBOSSED DISPENSER NAPKIN 1 PLY WHITE 6000 COUNT</t>
  </si>
  <si>
    <t>EASYNAP INTERFOLDED EMBOSSED DISPENSER NAPKIN 1 PLY BROWN 6000 COUNT</t>
  </si>
  <si>
    <t>NAPKIN HYNAP 4 DISPENSER 7X13.5 10000 COUNT</t>
  </si>
  <si>
    <t>COMPACT CORELESS TISSUE ADAPTER SPINDLE SIDE BY SIDE BOBRICK &amp; ASI WHITE 1 EACH</t>
  </si>
  <si>
    <t>100+</t>
  </si>
  <si>
    <t>BEVNAP BEVERAGE NAPKIN 1 PLY WHITE 4000 COUNT</t>
  </si>
  <si>
    <t>GOJO INDUSTRIES INC.</t>
  </si>
  <si>
    <t>SOAP ALL PURPOSE PINK SKIN CLEANSER 4 EACH</t>
  </si>
  <si>
    <t>SOAP BAG IN BOX FOR. WALL MOUNT DISPENSER 4 CASE 1000 MILLILITER</t>
  </si>
  <si>
    <t>INSTANT HAND SANITIZER 1000 ML 4 EACH</t>
  </si>
  <si>
    <t>SOAP ANTIBACTERIAL LOTION REFILL 1000 ML 4 EACH</t>
  </si>
  <si>
    <t>PURELL INSTANT HAND SANITIZER 12 OUNCE 12 EACH</t>
  </si>
  <si>
    <t>SOAP FMX-12 LUXURY FOAM HANDWASH 3 EACH</t>
  </si>
  <si>
    <t>FOAM HANDWASH 1250 MIL 3 EACH</t>
  </si>
  <si>
    <t>REFILL PREMIUM FOAM HANDWASH LAVENDER 2 EACH</t>
  </si>
  <si>
    <t>REFILL PREMIUM ANTIBACTERIAL FOAM HANDWASH 2 EACH</t>
  </si>
  <si>
    <t>REFILL FOAM INSTANT HAND SANITIZER CLEAR 1200 MIL 2 EACH</t>
  </si>
  <si>
    <t>PURELL WIPES 12 CASE 40 COUNT</t>
  </si>
  <si>
    <t>DISPENSER SOAP BLACK 800 MIL 12 EACH</t>
  </si>
  <si>
    <t>DISPENSER SOAP 800 MIL WHITE 1 COUNT</t>
  </si>
  <si>
    <t>SOAP ENRICHED LOTION 800 MIL 12 CASE 1 COUNT</t>
  </si>
  <si>
    <t>BAG IN BOX SMOKIN CLEANSER 800 MIL 12 EACH</t>
  </si>
  <si>
    <t>GOLD &amp; KLEAN 800 MIL 12 EACH</t>
  </si>
  <si>
    <t>PINK &amp; KLEAN 800 MIL 12 EACH</t>
  </si>
  <si>
    <t>SOAP ULTRA MILD ANTIMICROBIAL 800 MIL 12 CASE 1 COUNT</t>
  </si>
  <si>
    <t>DISPENSER HAND SANITIZER INSTANT 800 MIL 1 COUNT</t>
  </si>
  <si>
    <t>PURELL HAND SANITIZER PUMP BOTTLE 2 LITER 4 EACH</t>
  </si>
  <si>
    <t>BOTTLE PUMP 8OZ SANITIZER HAND 12 EACH</t>
  </si>
  <si>
    <t>PURELL SANITIZER INSTANT CLEAR 250 12 EACH</t>
  </si>
  <si>
    <t>BAG IN BOX HAND SANITIZER INSTANT 800 MIL 6 EACH</t>
  </si>
  <si>
    <t>SANITIZER INSTANT HAND 800 MIL 12 EACH</t>
  </si>
  <si>
    <t>LOTION SOAP ANTIBACTERIAL GAL. 4 EACH</t>
  </si>
  <si>
    <t>BAG IN BOX MICRELL SOAP ANTIBACTERIAL LOTION 6 EACH</t>
  </si>
  <si>
    <t>BAG IN BOX SOAP ANTIBACTERIAL LOTION 12 EACH</t>
  </si>
  <si>
    <t>BOTTLE PUMP.ANTIBAC LOT12 12 EACH</t>
  </si>
  <si>
    <t>GOJO RETAIL</t>
  </si>
  <si>
    <t>PURELL INSTANT HAND SANITIZER 2 OUNCE FLIP TOP ALOE 20 CASE 2 FLUID OUNCE</t>
  </si>
  <si>
    <t>PURELL INSTANT HAND SANITIZER ONE OUNCE DISPLAY BOWL 25 COUNT</t>
  </si>
  <si>
    <t>PURELL INSTANT HAND SANITIZER 2 OUNCE FLIP CAP BOTTLE 24 COUNT</t>
  </si>
  <si>
    <t>PURELL INSTANT HAND SANITIZER 8 OUNCE PUMP BOTTLE 12 COUNT</t>
  </si>
  <si>
    <t>PURELL INSTANT HAND SANITIZER PUMP BOTTLE 8 FLUID OUNCES ALOE 12 CASE 8 FLUID OUNCE</t>
  </si>
  <si>
    <t>PURELL INSTANT HAND SANITIZER ALOE 2 OUNCE FLIP CAP BOTTLE 24 COUNT</t>
  </si>
  <si>
    <t>GOLDMAX INDUSTRIES  INC</t>
  </si>
  <si>
    <t>PICK REGULAR WOODEN FRILLS 3 INCH 10 CASE 1000 COUNT</t>
  </si>
  <si>
    <t>PICK WOODEN CLUB FRILLS 4 10 CASE 1000 COUNT</t>
  </si>
  <si>
    <t>TOOTHPICK ROUND 2.25 OZ 24 CASE 800 COUNT</t>
  </si>
  <si>
    <t>TOOTHPICK INDIVIDUAL CELLO WRAPPED PLAIN 12 CASE 1000 COUNT</t>
  </si>
  <si>
    <t>TOOTHPICK INDIVIDUALLY WRAPPED CELLO MINT 2 1/4 12 CASE 1000 COUNT</t>
  </si>
  <si>
    <t>PICK PARASOL 10 CASE 144 COUNT</t>
  </si>
  <si>
    <t>PICK MEXICAN FLAG 100 CASE 144 COUNT</t>
  </si>
  <si>
    <t>STIRRER 5.5 COFFEE SQUARE END 10 CASE 1000 COUNT</t>
  </si>
  <si>
    <t>CHOPSTICK ASPEN 8 INCH GENROKU 100 CASE 40 COUNT</t>
  </si>
  <si>
    <t>SKEWERS 6 BAMBOO 12 CASE 16/100 COUNT</t>
  </si>
  <si>
    <t>SKEWERS 8 INCH BAMBOO 12 CASE 16/100 COUNT</t>
  </si>
  <si>
    <t>SKEWERS 10 INCH BAMBOO 3 MILLIMETER 12 CASE 16/100 COUNT</t>
  </si>
  <si>
    <t>SKEWERS 8.5 WOODEN 5 CASE 500 COUNT</t>
  </si>
  <si>
    <t>5.5 WOODEN SKEWERS 5 CASE 500 COUNT</t>
  </si>
  <si>
    <t>PICK SANDWICH 3 1/2 12 CASE 750 COUNT</t>
  </si>
  <si>
    <t>WOODEN SKEWER 4.5 10 CASE 500 COUNT</t>
  </si>
  <si>
    <t>SKEWERS WOODEN 10 INCH 3 CASE 500 COUNT</t>
  </si>
  <si>
    <t>MARKER PLASTIC STEAK RARE 10 CASE 500 COUNT</t>
  </si>
  <si>
    <t>MARKER STEAK WOODEN MEDIUM RARE 10 CASE 500 COUNT</t>
  </si>
  <si>
    <t>MARKER PLASTIC STEAK MEDIUM RARE 10 CASE 500 COUNT</t>
  </si>
  <si>
    <t>MARKER STEAK WOODEN MEDIUM 10 CASE 500 COUNT</t>
  </si>
  <si>
    <t>MARKER PLASTIC STEAK MEDIUM 10 CASE 500 COUNT</t>
  </si>
  <si>
    <t>MARKER PLASTIC STEAK MEDIUM WELL 10 CASE 500 COUNT</t>
  </si>
  <si>
    <t>MARKER STEAK WOODEN MEDIUM WELL 10 CASE 500 COUNT</t>
  </si>
  <si>
    <t>MARKER STEAK WOODEN WELL. 10 CASE 500 COUNT</t>
  </si>
  <si>
    <t>MARKER PLASTIC STEAK WELL 10 CASE 500 COUNT</t>
  </si>
  <si>
    <t>STIRRER COFFEE 7.5 10 CASE 500 COUNT</t>
  </si>
  <si>
    <t>STIRRER COFFEE ROUND END 5.5 10 CASE 1000 COUNT</t>
  </si>
  <si>
    <t>PICK 4 PAPER FRUIT ASSORTED COLOR 24 CASE 100 COUNT</t>
  </si>
  <si>
    <t>PICK 4 SUPER FRUIT ASSORTMENT COLOR 24 CASE 100 COUNT</t>
  </si>
  <si>
    <t>PICK NEON SPEAR ASSORTED COLOR 10 CASE 1000 COUNT</t>
  </si>
  <si>
    <t>PICK NEON SWORD ASSORTED COLOR 10 CASE 1000 COUNT</t>
  </si>
  <si>
    <t>STAND PIZZA PLASTIC WHITE BOX SUPPORT 10 CASE 100 COUNT</t>
  </si>
  <si>
    <t>FORK CUTLERY MEDIUM WEIGHT BULK POLYPROPYLENE 3G 10 CASE 100 COUNT</t>
  </si>
  <si>
    <t>TEASPOON CUTLERY MEDIUM WEIGHT BULK 10 CASE 100 COUNT</t>
  </si>
  <si>
    <t>KNIFE CUTLERY MEDIUM WEIGHT BULK WHITE POLYPROPYLENE 3G 10 CASE 100 COUNT</t>
  </si>
  <si>
    <t>SPOON SOUP CUTLERY MEDIUM WEIGHT BULK 10 CASE 100 COUNT</t>
  </si>
  <si>
    <t>SPORK CUTLERY MEDIUM WEIGHT BULK WHITE 10 CASE 100 COUNT</t>
  </si>
  <si>
    <t>FORK CUTLERY MEDIUM WEIGHT WHITE POLYSTRENE 4G 10 CASE 100 COUNT</t>
  </si>
  <si>
    <t>FORK CUTLERY HEAVY WEIGHT WHITE 10 CASE 100 COUNT</t>
  </si>
  <si>
    <t>TEASPOON CUTLERY HEAVY WEIGHT WHITE 10 CASE 100 COUNT</t>
  </si>
  <si>
    <t>KNIFE CUTLERY HEAVY WEIGHT WHITE 10 CASE 100 COUNT</t>
  </si>
  <si>
    <t>SPOON SOUP CUTLERY HEAVY WEIGHT WHITE 10 CASE 100 COUNT</t>
  </si>
  <si>
    <t>FORK CUTLERY HEAVY WEIGHT BLACK 10 CASE 100 COUNT</t>
  </si>
  <si>
    <t>TEASPOON CUTLERY HEAVY WEIGHT BLACK 10 CASE 100 COUNT</t>
  </si>
  <si>
    <t>KNIFE CUTLERY HEAVY WEIGHT BLACK 10 CASE 100 COUNT</t>
  </si>
  <si>
    <t>SPOON SOUP CUTLERY HEAVY WEIGHT BLACK 10 CASE 100 COUNT</t>
  </si>
  <si>
    <t>COVER TOILET SEAT 4X250-CT DISPENSERS 4 CASE 250 COUNT</t>
  </si>
  <si>
    <t>FORK CUTLERY MEDIUM WEIGHT WHITE INDIVIDUALLY WRAPPED POLYSTYRENE 1000 COUNT</t>
  </si>
  <si>
    <t>TEASPOON CUTLERY MEDIUM WEIGHT WHITE POLYSTYRENE INDIVIDUALLY WRAPPED 1000 COUNT</t>
  </si>
  <si>
    <t>SPORK BLACK MEDIUM HEIGHT 10 CASE 100 COUNT</t>
  </si>
  <si>
    <t>KIT 1. KNIFE FORK TEASPOON BULK 500 COUNT</t>
  </si>
  <si>
    <t>KIT KNIFE FORK TEASPOON NAPKIN MEDIUM WEIGHT 250 COUNT</t>
  </si>
  <si>
    <t>MEAL KIT KNIFE FORK SPOON NAPKIN S&amp;P MEDIUM WEIGHT 250 COUNT</t>
  </si>
  <si>
    <t>KIT SCHOOL SPORK  STRAW  AND NAPKIN 1000 COUNT</t>
  </si>
  <si>
    <t>HALL CHINA COMPANY</t>
  </si>
  <si>
    <t>CREAMER EMPIRE HLD. 3.5 OZ OUNCE WHITE 2 DOZEN</t>
  </si>
  <si>
    <t>DISH RAMEKIN ROUND 2.5 OUNCE WHITE 3 DOZEN</t>
  </si>
  <si>
    <t>DISH RAMEKIN ROUND 3.5 OZ OUNCE WHITE 3 DOZEN</t>
  </si>
  <si>
    <t>DISH RAMEKIN ROUND ONE OUNCE WHITE 6 DOZEN</t>
  </si>
  <si>
    <t>RAMEKIN PLAIN 2.5 OUNCE 3 DOZEN</t>
  </si>
  <si>
    <t>RAMEKIN FLUTED 2 OUNCE 3 DOZEN</t>
  </si>
  <si>
    <t>RAMEKIN FLUTED 2.5 OUNCE 3 DOZEN</t>
  </si>
  <si>
    <t>RAMEKIN FLUTED 4 OZ 3 DOZEN</t>
  </si>
  <si>
    <t>RAREBIT OVAL 8 OUNCE 2 DOZEN</t>
  </si>
  <si>
    <t>RAREBIT OVAL 12 OUNCE 2 DOZEN</t>
  </si>
  <si>
    <t>RAREBIT OVAL 15 OZ 2 DOZEN</t>
  </si>
  <si>
    <t>SHIRRED EGG ROUND 8 OUNCE 2 DOZEN</t>
  </si>
  <si>
    <t>SHIRRED EGG ROUND 12 OUNCE 2 DOZEN</t>
  </si>
  <si>
    <t>CREAMER 3.5 OUNCE 2 DOZEN</t>
  </si>
  <si>
    <t>HOLDER SUGAR PACKET 2 DOZEN</t>
  </si>
  <si>
    <t>AU GRATIN 7 OUNCE 2 DOZEN</t>
  </si>
  <si>
    <t>BAKER OVAL 9 OUNCE 2 DOZEN</t>
  </si>
  <si>
    <t>CREME BRULEE ROUND FLUTED 5 OUNCE 2 DOZEN</t>
  </si>
  <si>
    <t>DISH SOUFFLE 8 OUNCE WHITE 2 DOZEN</t>
  </si>
  <si>
    <t>DISH RAREBIT AU GRATIN 8 OUNCE WHITE 2 DOZEN</t>
  </si>
  <si>
    <t>DISH RAREBIT AU GRATIN 12 OUNCE WHITE 2 DOZEN</t>
  </si>
  <si>
    <t>RAMEKIN FLARED 3 DOZEN</t>
  </si>
  <si>
    <t>POT LONDON 16 OUNCE WHITE 1 DOZEN</t>
  </si>
  <si>
    <t>RAMEKIN FLUTED 3 DOZEN</t>
  </si>
  <si>
    <t>RAMEKIN FLUTED 4.5 OZ 2 DOZEN</t>
  </si>
  <si>
    <t>RAMEKIN FLUTED 5 OUNCE 2 DOZEN</t>
  </si>
  <si>
    <t>SOUFFLE FLUTED OVAL 5 OUNCE 2 DOZEN</t>
  </si>
  <si>
    <t>SOUFFLE FLUTED OVAL 6.5 OUNCE 2 DOZEN</t>
  </si>
  <si>
    <t>SOUFFLE ROUND 8 OUNCE 2 DOZEN</t>
  </si>
  <si>
    <t>HAMILTON BEACH</t>
  </si>
  <si>
    <t>ROASTER OVEN WITH BUFFET PAN 18Q 1 COUNT</t>
  </si>
  <si>
    <t>PROCTOR SILEX RICE COOKER &amp; WARMER 1 COUNT</t>
  </si>
  <si>
    <t>CONTAINER POLYCARBONATE 44 OUNCE 1 EACH</t>
  </si>
  <si>
    <t>DISHERS STAINLESS STEEL 5 OUNCE WHITE 1 COUNT</t>
  </si>
  <si>
    <t>DISHERS STAINLESS STEEL 4 OUNCE GREY 1 COUNT</t>
  </si>
  <si>
    <t>DISHER STAINLESS STEEL 4 OUNCE IVORY 1 COUNT</t>
  </si>
  <si>
    <t>DISHER STAINLESS STEEL 3 OUNCE GREEN 1 COUNT</t>
  </si>
  <si>
    <t>DISHER STAINLESS STEEL 2 OUNCE BLUE 1 COUNT</t>
  </si>
  <si>
    <t>DISHER STAINLESS STEEL 2 OUNCE YELLOW 1 COUNT</t>
  </si>
  <si>
    <t>DISHER STAINLESS STEEL 2 OUNCE RED 1 COUNT</t>
  </si>
  <si>
    <t>DISHER STAINLESS STEEL ONE OUNCE BLACK 1 COUNT</t>
  </si>
  <si>
    <t>DISHER S/S.7 OUNCE ORCHID 1 COUNT</t>
  </si>
  <si>
    <t>DISHER MICROBAN STAINLESS STEEL ERGOGRIP WHITE 1 COUNT</t>
  </si>
  <si>
    <t>DISHER MICROBAN STAINLESS STEEL ERGOGRIP GREY 1 COUNT</t>
  </si>
  <si>
    <t>DISHER MICROBAN STAINLESS STEEL ERGOGRIP IVORY 1 COUNT</t>
  </si>
  <si>
    <t>DISHER MICROBAN STAINLESS STEEL ERGOGRIP GREEN 1 COUNT</t>
  </si>
  <si>
    <t>DISHER MICROBAN STAINLESS STEEL ERGOGRIP BLUE 1 COUNT</t>
  </si>
  <si>
    <t>DISHER MICROBAN STAINLESS STEEL ERGOGRIP YELLOW 1 COUNT</t>
  </si>
  <si>
    <t>DISHER MICROBAN STAINLESS STEEL ERGOGRIP RED 1 COUNT</t>
  </si>
  <si>
    <t>DISHER MICROBAN STAINLESS STEEL ERGOGRIP BLACK 1 COUNT</t>
  </si>
  <si>
    <t>DISHER MICROBAN STAINLESS STEEL ERGOGRIP ORCHID 1 COUNT</t>
  </si>
  <si>
    <t>JUICER CITRUS MANUAL 1 COUNT</t>
  </si>
  <si>
    <t>REPAIR KIT MULTIPLE BLENDER 1 COUNT</t>
  </si>
  <si>
    <t>BLENDER ONE GALLON STAINLESS STEEL 2 SPEED 1 COUNT</t>
  </si>
  <si>
    <t>MIXER STAND. 7QT 800W 1 COUNT</t>
  </si>
  <si>
    <t>BLENDER BAR .5 HORSEPOWER RIO 1 COUNT</t>
  </si>
  <si>
    <t>BLENDER BAR 1 COUNT</t>
  </si>
  <si>
    <t>BLENDER COMMERCIAL ONE HORSEPOWER TANGO 1 COUNT</t>
  </si>
  <si>
    <t>MIXER SINGLE SPINDLE 1 COUNT</t>
  </si>
  <si>
    <t>MIXER TRIPLE SPINDLE 1 COUNT</t>
  </si>
  <si>
    <t>HANDGARD/VALUGARDS</t>
  </si>
  <si>
    <t>GLOVE VINYL VALUGARD POWDERED SMALL 10 CASE 100 COUNT</t>
  </si>
  <si>
    <t>GLOVE VINYL VALUGARD POWDERED MEDIUM 10 CASE 100 COUNT</t>
  </si>
  <si>
    <t>GLOVE VINYL VALUGARD POWDERED LARGE 10 CASE 100 COUNT</t>
  </si>
  <si>
    <t>GLOVE VINYL POWDERED EXTRA LARGE 10 CASE 100 COUNT</t>
  </si>
  <si>
    <t>GLOVE VINYL VALUGARD POWDER FREE SMALL 10 CASE 100 COUNT</t>
  </si>
  <si>
    <t>GLOVE VINYL VALUGARD POWDER FREE MEDIUM 10 CASE 100 COUNT</t>
  </si>
  <si>
    <t>GLOVE VINYL VALUGARD POWDER FREE LARGE 10 CASE 100 COUNT</t>
  </si>
  <si>
    <t>GLOVE VINYL VALUGARD POWDER FREE EXTRA LARGE 10 CASE 100 COUNT</t>
  </si>
  <si>
    <t>GLOVE LATEX VALUGARD POWDERED SMALL 10 CASE 100 COUNT</t>
  </si>
  <si>
    <t>GLOVE LATEX VALUGARD POWDERED MEDIUM 10 CASE 100 COUNT</t>
  </si>
  <si>
    <t>GLOVE LATEX VALUGARD POWDERED LARGE 10 CASE 100 COUNT</t>
  </si>
  <si>
    <t>GLOVE LATEX VALUGARD POWDERED EXTRA LARGE 10 CASE 100 COUNT</t>
  </si>
  <si>
    <t>GLOVE LATEX VALUGARD POWDER FREE SMALL 10 CASE 100 COUNT</t>
  </si>
  <si>
    <t>GLOVE LATEX VALUGARD POWDER FREE MEDIUM 10 CASE 100 COUNT</t>
  </si>
  <si>
    <t>GLOVE LATEX VALUGARD POWDER FREE LARGE 10 CASE 100 COUNT</t>
  </si>
  <si>
    <t>GLOVE LATEX VALUGARD POWDER FREE EXTRA LARGE 10 CASE 100 COUNT</t>
  </si>
  <si>
    <t>HANDGARDS</t>
  </si>
  <si>
    <t>GLOVE POLY SMALL 4 CASE 200 COUNT</t>
  </si>
  <si>
    <t>GLOVE POLY MEDIUM 4 CASE 200 COUNT</t>
  </si>
  <si>
    <t>GLOVE POLY LARGE 4 CASE 200 COUNT</t>
  </si>
  <si>
    <t>GLOVE POLY EXTRA LARGE 4 CASE 200 COUNT</t>
  </si>
  <si>
    <t>GLOVE POLY ELBOW LENGTH 250 COUNT</t>
  </si>
  <si>
    <t>GLOVE QUICK SERVE MICROBAN 1000 COUNT</t>
  </si>
  <si>
    <t>GLOVE POLY MEDIUM 10 CASE 500 COUNT</t>
  </si>
  <si>
    <t>GLOVE POLY LARGE 10 CASE 500 COUNT</t>
  </si>
  <si>
    <t>GLOVE POLY MEDIUM 10 CASE 10/100 COUNT</t>
  </si>
  <si>
    <t>GLOVE POLY LARGE 10 CASE 10/100 COUNT</t>
  </si>
  <si>
    <t>GLOVE POLY MEDIUM 4 CASE 500 COUNT</t>
  </si>
  <si>
    <t>GLOVE POLY LARGE 4 CASE 500 COUNT</t>
  </si>
  <si>
    <t>GLOVE CLEAR POLY ONE SIZE FITS ALL 4 CASE 500 COUNT</t>
  </si>
  <si>
    <t>GLOVE CLEAR EMBOSSED POLY SMALL 10 CASE 100 COUNT</t>
  </si>
  <si>
    <t>GLOVE POLY MEDIUM 10 CASE 100 COUNT</t>
  </si>
  <si>
    <t>GLOVE CLEAR EMBOSSED POLY LARGE 10 CASE 100 COUNT</t>
  </si>
  <si>
    <t>GLOVE POLY STRETCH SMALL 1000 COUNT</t>
  </si>
  <si>
    <t>GLOVE STRETCH POLY MEDIUM 1000 COUNT</t>
  </si>
  <si>
    <t>GLOVE STRETCH POLY LARGE 1000 COUNT</t>
  </si>
  <si>
    <t>GLOVE STRETCH POLY EXTRA LARGE 1000 COUNT</t>
  </si>
  <si>
    <t>GLOVE NITRILE 12 INCH POT WASHING LARGE 12 COUNT</t>
  </si>
  <si>
    <t>GLOVE LATEX YELLOW HEAVY DUTY WASHING MEDIUM 4 CASE 12 COUNT</t>
  </si>
  <si>
    <t>GLOVE DISHWASHING LATEX YELLOW HEAVY DUTY LARGE 12 INCH 4 CASE 12 COUNT</t>
  </si>
  <si>
    <t>BIB. EMBOSSED POLY ADULT WHITE 500 EACH</t>
  </si>
  <si>
    <t>BIB. EMBOSSED POLY ADULT PRINTED 500 EACH</t>
  </si>
  <si>
    <t>BIB. EMBOSSED POLY CHILDS BIB PRINTED 500 EACH</t>
  </si>
  <si>
    <t>BAG HIGH DENSITY SADDLE PRINTED FOOD PYRAMID 2000 COUNT</t>
  </si>
  <si>
    <t>BAG HIGH DENSITY SADDLE PRINTED DOGGIE BAG 1000 EACH</t>
  </si>
  <si>
    <t>BAG HIGH DENSITY SADDLE DELI FRESH BAG 2000 COUNT</t>
  </si>
  <si>
    <t>BAG HIGH DENSITY SADDLE SANDWICH BAG 2000 COUNT</t>
  </si>
  <si>
    <t>BAG HIGH DENSITY SADDLE PRINTED CHICKEN BAG 2000 EACH</t>
  </si>
  <si>
    <t>BAG HIGH DENSITY SADDLE 5.25X8 HOT DOG 2000 COUNT</t>
  </si>
  <si>
    <t>BAG HIGH DENSITY SADDLE SIDE LOAD HOT DOG 2000 EACH</t>
  </si>
  <si>
    <t>BAG HIGH DENSITY SADDLE PRINTED CHEESEBURGER BAG 2000 EACH</t>
  </si>
  <si>
    <t>BAG HIGH DENSITY SADDLE DELI BAG 2000 EACH</t>
  </si>
  <si>
    <t>BAG HIGH DENSITY SADDLE PRINTED COOKIE BAG 2000 COUNT</t>
  </si>
  <si>
    <t>BAG HIGH DENSITY SADDLE HOT DOG BAG 2000 COUNT</t>
  </si>
  <si>
    <t>SILVERWARE BAG HIGH DENSITY 3.5X10 FULL SADDLE 2000 EACH</t>
  </si>
  <si>
    <t>BAG HIGH DENSITY SADDLE 4X4.75 2000 EACH</t>
  </si>
  <si>
    <t>BAG HIGH DENSITY SADDLE PRINTED DELI BAG 2000 COUNT</t>
  </si>
  <si>
    <t>BAG HIGH DENSITY SADDLE PRINTED DELI FRESH 2000 EACH</t>
  </si>
  <si>
    <t>BAG PIZZA 8.5X12 2000 EACH</t>
  </si>
  <si>
    <t>BAG HIGH DENSITY RECLOSEABLE 1 GALLON FREEZER BAG 250 COUNT</t>
  </si>
  <si>
    <t>BAG HIGH DENSITY PREPORTION BAG PRINTED SUNDAY BLACK 2000 COUNT</t>
  </si>
  <si>
    <t>BAG HIGH DENSITY SADDLE PREPORTION BAG PRINTED BLUE MONDAY 2000 COUNT</t>
  </si>
  <si>
    <t>BAG HIGH DENSITY SADDLE PREPORTION BAG PRINTED YELLOW TUESDAY 2000 COUNT</t>
  </si>
  <si>
    <t>BAG HIGH DENSITY SADDLE PREPORTION BAG PRINTED RED WEDNESDAY 2000 COUNT</t>
  </si>
  <si>
    <t>BAG HIGH DENSITY PREPORTION BAG PRINTED BROWN THURSDAY 2000 COUNT</t>
  </si>
  <si>
    <t>BAG HIGH DENSITY SADDLE PREPORTIONED GREEN FRIDAY 2000 COUNT</t>
  </si>
  <si>
    <t>BAG HIGH DENSITY SADDLE PREPORTIONED ORANGE SATURDAY 2000 COUNT</t>
  </si>
  <si>
    <t>BAG HIGH DENSITY SADDLE PPD. WEEKLY 2000 COUNT</t>
  </si>
  <si>
    <t>BAG HIGH DENSITY SADDLE PRINTED WEEKLY 2000 COUNT</t>
  </si>
  <si>
    <t>BAG HIGH DENSITY PREPORTION BAG TINTED ORANGE SATURDAY 2000 COUNT</t>
  </si>
  <si>
    <t>PAN LINER STEAM 19.5X10 THIRD PAN 250 COUNT</t>
  </si>
  <si>
    <t>RACK COVER BUN PAN 52X80 HIGH DENSITY CLEAR 50 EACH</t>
  </si>
  <si>
    <t>BAG HIGH DENSITY ROLL PACK 6.5X9 FREEZER STORAGE 2000 COUNT 1 ROLL</t>
  </si>
  <si>
    <t>BAG HIGH DENSITY ROLL PACK 10X14 FREEZER STORAGE 1000 COUNT 1 ROLL</t>
  </si>
  <si>
    <t>BAG HIGH DENSITY ROLL PACK 12X18 FREEZER STORAGE 1000 COUNT 1 ROLL</t>
  </si>
  <si>
    <t>BAG HIGH DENSITY ROLL PUFF 18X24 FREEZER STORAGE 250 COUNT 1 ROLL</t>
  </si>
  <si>
    <t>BAG HIGH DENSITY FREEZER/STORAGE 18X30 200 COUNT 1 ROLL</t>
  </si>
  <si>
    <t>BAG HIGH DENSITY ROLL PACK 27X37 BUN PAN 200 COUNT 1 ROLL</t>
  </si>
  <si>
    <t>PAN LINER STEAM 24X17 HALF 250 COUNT 1 ROLL</t>
  </si>
  <si>
    <t>PAN LINER STEAM 34X25 FULL 250 COUNT 1 ROLL</t>
  </si>
  <si>
    <t>PAN LINER STEAM 18X14 QUART 250 COUNT 1 ROLL</t>
  </si>
  <si>
    <t>APRON POLY EMBOSSED CLEAR MEDIUM DUTY 100 COUNT</t>
  </si>
  <si>
    <t>APRON POLY EMBOSSED WHITE MEDIUM DUTY 100 COUNT</t>
  </si>
  <si>
    <t>APRON POLY EMBOSSED WHITE HEAVY DUTY 100 COUNT</t>
  </si>
  <si>
    <t>APRON POLY SMOOTH CLEAR HEAVY DUTY 100 COUNT</t>
  </si>
  <si>
    <t>APRON POLY SMOOTH CLEAR MEDIUM DUTY 200 COUNT</t>
  </si>
  <si>
    <t>APRON POLY SMOOTH WHITE MEDIUM DUTY 100 EACH</t>
  </si>
  <si>
    <t>APRON POLY SMOOTH WHITE LIGHT DUTY 100 EACH</t>
  </si>
  <si>
    <t>APRON POLY SMOOTH WHITE HEAVY DUTY 100 EACH</t>
  </si>
  <si>
    <t>RACK CB900CW SMALL SADDLE WIRE RACK 2 EACH</t>
  </si>
  <si>
    <t>GLOVE WHITE NITRILE POWDER FREE SMALL 1000 COUNT</t>
  </si>
  <si>
    <t>GLOVE WHITE NITRILE POWDER FREE MEDIUM 1000 COUNT</t>
  </si>
  <si>
    <t>GLOVE WHITE NITRILE POWDER FREE LARGE 1000 COUNT</t>
  </si>
  <si>
    <t>GLOVE WHITE NITRILE POWDER FREE EXTRA LARGE 1000 COUNT</t>
  </si>
  <si>
    <t>GLOVE VINYL EXAM POWDER FREE MEDIUM 10 CASE 100 COUNT</t>
  </si>
  <si>
    <t>GLOVE VINYL EXAM POWDER FREE LARGE 10 CASE 100 COUNT</t>
  </si>
  <si>
    <t>GLOVE VINYL BLUE POWDER FREE LARGE 10 CASE 100 COUNT</t>
  </si>
  <si>
    <t>GLOVE VINYL BLUE POWDER FREE EXTRA LARGE 10 CASE 100 COUNT</t>
  </si>
  <si>
    <t>GLOVE VINYL POWDER FREE MEDIUM 10 CASE 100 COUNT</t>
  </si>
  <si>
    <t>GLOVE VINYL POWDER FREE LARGE 10 CASE 100 COUNT</t>
  </si>
  <si>
    <t>GLOVE VINYL POWDER FREE EXTRA LARGE 10 CASE 100 COUNT</t>
  </si>
  <si>
    <t>GLOVE SYNTHETIC POWDER FREE MEDIUM 10 CASE 100 COUNT</t>
  </si>
  <si>
    <t>GLOVE SYNTHETIC POWDER FREE LARGE 10 CASE 100 COUNT</t>
  </si>
  <si>
    <t>GLOVE SYNTHETIC POWDER FREE EXTRA LARGE 10 CASE 100 COUNT</t>
  </si>
  <si>
    <t>GLOVE VINYL POWDERED SMALL 10 CASE 100 EACH</t>
  </si>
  <si>
    <t>GLOVE VINYL POWDERED MEDIUM 10 CASE 100 EACH</t>
  </si>
  <si>
    <t>GLOVE VINYL POWDERED LARGE 10 CASE 100 EACH</t>
  </si>
  <si>
    <t>GLOVE VINYL POWDERED SMALL 4 CASE 100 COUNT</t>
  </si>
  <si>
    <t>GLOVE VINYL POWDERED MEDIUM 4 CASE 100 EACH</t>
  </si>
  <si>
    <t>GLOVE VINYL POWDERED LARGE 4 CASE 100 COUNT</t>
  </si>
  <si>
    <t>GLOVE VINYL POWDERED EXTRA LARGE 4 CASE 100 EACH</t>
  </si>
  <si>
    <t>GLOVE VINYL POWDER FREE SMALL 4 CASE 100 EACH</t>
  </si>
  <si>
    <t>GLOVE VINYL POWDER FREE MEDIUM 4 CASE 100 EACH</t>
  </si>
  <si>
    <t>GLOVE VINYL POWDER FREE LARGE 4 CASE 100 EACH</t>
  </si>
  <si>
    <t>GLOVE VINYL POWDER FREE EXTRA LARGE 4 CASE 100 EACH</t>
  </si>
  <si>
    <t>GLOVE SYNTHETIC POWDER FREE SMALL 4 CASE 100 COUNT</t>
  </si>
  <si>
    <t>GLOVE SYNTHETIC POWDER FREE MEDIUM 4 CASE 100 COUNT</t>
  </si>
  <si>
    <t>GLOVE SYNTHETIC POWDER FREE LARGE 4 CASE 100 COUNT</t>
  </si>
  <si>
    <t>GLOVE SYNTHETIC POWDER FREE EXTRA LARGE 4 CASE 100 COUNT</t>
  </si>
  <si>
    <t>GLOVE NITRILE POWDER FREE MEDIUM 4 CASE 100 COUNT</t>
  </si>
  <si>
    <t>GLOVE LARGE POWDER FREE NITRILE 4 CASE 100 COUNT</t>
  </si>
  <si>
    <t>GLOVE EXTRA LARGE POWDER FREE 4 CASE 100 COUNT</t>
  </si>
  <si>
    <t>GLOVE SYNTHETIC POWDERED MEDIUM 10 CASE 100 COUNT</t>
  </si>
  <si>
    <t>GLOVE SYNTHETIC POWDERED LARGE 10 CASE 100 COUNT</t>
  </si>
  <si>
    <t>GLOVE SYNTHETIC POWDERED EXTRA LARGE 10 CASE 100 COUNT</t>
  </si>
  <si>
    <t>GLOVE SYNTHETIC ALOE POWDER FREE MEDIUM 4 CASE 100 COUNT</t>
  </si>
  <si>
    <t>GLOVE SYNTHETIC ALOE POWDER FREE LARGE 4 CASE 100 COUNT</t>
  </si>
  <si>
    <t>GLOVE ULTRA TOUCH SYNTHETIC POWDER FREE MEDIUM 10 CASE 100 COUNT</t>
  </si>
  <si>
    <t>GLOVE ULTRA TOUCH SYNTHETIC POWDER FREE LARGE 10 CASE 100 COUNT</t>
  </si>
  <si>
    <t>GLOVE ULTRA TOUCH SYNTHETIC POWDER FREE EXTRA LARGE 10 CASE 100 COUNT</t>
  </si>
  <si>
    <t>APRON ECONOMY POLY EMBOSSED WHITE LIGHT DUTY 24X42 10 CASE 100 COUNT</t>
  </si>
  <si>
    <t>APRON ECONOMY POLY WHITE EMBOSSED LIGHT DUTY 28X46 10 CASE 100 COUNT</t>
  </si>
  <si>
    <t>GLOVE LATEX EXAM POWDER FREE MEDIUM 10 CASE 100 COUNT</t>
  </si>
  <si>
    <t>GLOVE LATEX EXAM POWDER FREE LARGE 10 CASE 100 COUNT</t>
  </si>
  <si>
    <t>GLOVE LATEX POWDERED SMALL 10 CASE 100 EACH</t>
  </si>
  <si>
    <t>GLOVE LATEX POWDERED LARGE 10 CASE 100 EACH</t>
  </si>
  <si>
    <t>GLOVE LATEX POWDERED SMALL 4 CASE 100 COUNT</t>
  </si>
  <si>
    <t>GLOVE LATEX POWDERED MEDIUM 4 CASE 100 COUNT</t>
  </si>
  <si>
    <t>GLOVE LATEX POWDERED LARGE 4 CASE 100 COUNT</t>
  </si>
  <si>
    <t>GLOVE LATEX POWDERED EXTRA LARGE 4 CASE 100 COUNT</t>
  </si>
  <si>
    <t>GLOVE LATEX POWDER FREE MEDIUM 10 CASE 100 COUNT</t>
  </si>
  <si>
    <t>GLOVE LATEX POWDER FREE LARGE 10 CASE 100 COUNT</t>
  </si>
  <si>
    <t>GLOVE LATEX POWDER FREE SMALL 4 CASE 100 COUNT</t>
  </si>
  <si>
    <t>GLOVE LATEX POWDER FREE MEDIUM 4 CASE 100 COUNT</t>
  </si>
  <si>
    <t>GLOVE LATEX POWDER FREE LARGE 4 CASE 100 COUNT</t>
  </si>
  <si>
    <t>GLOVE LATEX POWDER FREE EXTRA LARGE 4 CASE 100 COUNT</t>
  </si>
  <si>
    <t>PAN LINER OVENABLE 400 DEGREE 34X12 FULL 100 EACH</t>
  </si>
  <si>
    <t>PAN LINER OVENABLE 400 DEGREE 34X16 FULL 100 COUNT</t>
  </si>
  <si>
    <t>PAN LINER OVENABLE 400 DEGREE 24X12 HALF PAN 100 COUNT</t>
  </si>
  <si>
    <t>PAN LINER OVENABLE 400 DEGREE 19.5X10 100 EACH</t>
  </si>
  <si>
    <t>PAN LINER OVENABLE 400 DEGREE 18X14 QUART PAN LINER 100 EACH</t>
  </si>
  <si>
    <t>BAG NYLON 24X17 100 EACH</t>
  </si>
  <si>
    <t>PAN LINER OVENABLE 400 DEGREE 18X24 100 EACH</t>
  </si>
  <si>
    <t>BAG ROAST FULL SIZE NYLON 34X25 100 COUNT</t>
  </si>
  <si>
    <t>PAN LINER OVENABLE 13X18 PAN 100 COUNT</t>
  </si>
  <si>
    <t>BAG LOW DENSITY RECLOSEABLE 6.5/6 PINT 500 COUNT</t>
  </si>
  <si>
    <t>BAG LOW DENSITY RECLOSEABLE 7X8 QUART STORAGE BAG 500 COUNT</t>
  </si>
  <si>
    <t>BAG LOW DENSITY RECLOSEABLE 10.5X10.5 250 COUNT</t>
  </si>
  <si>
    <t>BAG LOW DENSITY RECLOSEABLE 13X15.5 2G. 100 COUNT</t>
  </si>
  <si>
    <t>BAG HIGH DENSITY SADDLE 6.5X7.5 BAG 2000 COUNT</t>
  </si>
  <si>
    <t>SILVERWARE BAG HIGH DENSITY 3.5X10.75 FLAT PACK 2000 EACH</t>
  </si>
  <si>
    <t>BAG HIGH DENSITY SADDLE 6.5X7 SANDWICH PREPORTIONING BAG 2000 COUNT</t>
  </si>
  <si>
    <t>BAG HIGH DENSITY SADDLE 5.5X5.5 2000 EACH</t>
  </si>
  <si>
    <t>BAG LOW DENSITY POLY ROLL PACK 6X3X15 .6 MIL 1000 COUNT 1 ROLL</t>
  </si>
  <si>
    <t>BAG LOW DENSITY POLY ROLL PACK 6X8 .6ML. FOOD STORAGE 1000 COUNT 1 ROLL</t>
  </si>
  <si>
    <t>BAG LOW DENSITY POLY ROLL PACK 8X4X18 .6 MIL 1000 COUNT 1 ROLL</t>
  </si>
  <si>
    <t>BAG LOW DENSITY FOOD STORAGE 5X4.5X18 1000 EACH</t>
  </si>
  <si>
    <t>FOOD BAG LOW DENSITY POLY ROLL 4X2X12 1000 COUNT 1 ROLL</t>
  </si>
  <si>
    <t>BAG LOW DENSITY POLY ROLL PACK 8X3X15 .6 MIL 1000 COUNT 1 ROLL</t>
  </si>
  <si>
    <t>BAG LOW DENSITY POLY ROLL PACK 6X3X12 .6 MIL 1000 COUNT</t>
  </si>
  <si>
    <t>BAG LOW DENSITY POLY ROLL PACK 4X2X8 .6 MIL 1000 COUNT 1 ROLL</t>
  </si>
  <si>
    <t>BAG LOW DENSITY POLY ROLL PACK 10X8X24 .6ML. 500 COUNT</t>
  </si>
  <si>
    <t>BAG LOW DENSITY POLY ROLL PACK 8X4X18 1.2ML. 1000 COUNT</t>
  </si>
  <si>
    <t>BAG LOW DENSITY POLY ROLL PACK 18X24 FOOD STORAGE BAG 250 COUNT</t>
  </si>
  <si>
    <t>BAG SANDWICH LOW DENSITY FLAT 7X7 2000 COUNT</t>
  </si>
  <si>
    <t>BAG ZIPLESS PLAIN PINT 500 COUNT</t>
  </si>
  <si>
    <t>BAG ZIPLESS PLAIN QUART 500 COUNT</t>
  </si>
  <si>
    <t>HANDI-FOIL OF AMERICA</t>
  </si>
  <si>
    <t>FOIL MEDALLION STANDARD 12X1000' 1 COUNT</t>
  </si>
  <si>
    <t>FOIL ROLL STANDARD 12X1000' 1 COUNT</t>
  </si>
  <si>
    <t>FOIL MEDALLION STANDARD 18X1000' 1 COUNT</t>
  </si>
  <si>
    <t>FOIL ROLL STANDARD 18X1000' 1 COUNT</t>
  </si>
  <si>
    <t>FOIL MEDALLION HEAVY DUTY 18X1000' 1 COUNT</t>
  </si>
  <si>
    <t>FOIL ROLL HEAVY DUTY 18X1000' 1 COUNT</t>
  </si>
  <si>
    <t>FOIL STANDARD 12X25' RETAIL 24 CASE 25 FOOT</t>
  </si>
  <si>
    <t>FOIL ROLL HEAVY DUTY 24X1000' 1 COUNT</t>
  </si>
  <si>
    <t>TRAY 16 LAZY SUSAN EMBOSSED 25 CASE 1 COUNT</t>
  </si>
  <si>
    <t>PLASTIC DOME LID 2012 2013 6751 25 CASE 1 COUNT</t>
  </si>
  <si>
    <t>TRAY 16 ROUND SERVING EMBOSSED 25 CASE 1 COUNT</t>
  </si>
  <si>
    <t>FOIL PAN 1/2 SIZE STEAM TABLE EXTRA DEEP 100 CASE 1 COUNT</t>
  </si>
  <si>
    <t>STEAM TABLE FULL SIZE DEEP ECONOMY 50 CASE 1 COUNT</t>
  </si>
  <si>
    <t>PAN FOIL FULL SIZE STEAM TABLE DEEP 50 CASE 1 EACH</t>
  </si>
  <si>
    <t>TRAY OBLONG 3 COMPARTMENT W/LID 250 COUNT</t>
  </si>
  <si>
    <t>9 ROUND PAN WITH LIDS ECONOMY 400 CASE 1 COUNT</t>
  </si>
  <si>
    <t>CONTAINER ROUND 9 ECONOMY 500 CASE 1 COUNT</t>
  </si>
  <si>
    <t>9 ROUND COMBO-PAK WITH LID 200 COUNT</t>
  </si>
  <si>
    <t>CONTAINER 9 ROUND W/LID 250 COUNT</t>
  </si>
  <si>
    <t>9 ROUND WITH DOME LID COMBO-PAK 250 COUNT</t>
  </si>
  <si>
    <t>CONTAINER 9 ROUND ALUMINUM CONTAINER 500 CASE 1 EACH</t>
  </si>
  <si>
    <t>LID PLASTIC DOME FOR 2046 500 CASE 1 COUNT</t>
  </si>
  <si>
    <t>BOARD LID FOIL LAMINATED FOR 2046 500 CASE 1 EACH</t>
  </si>
  <si>
    <t>7 ROUND ALUMINUM PAN WITH LIDS 200 COUNT</t>
  </si>
  <si>
    <t>CONTAINER 7 ROUND ALUMINUM CONTAINER W/LID 200 COUNT</t>
  </si>
  <si>
    <t>CONTAINER 7 ROUND ALUMINUM CONTAINER W/LID 250 COUNT</t>
  </si>
  <si>
    <t>CONTAINER 7 ROUND ALUMINUM CONTAINER 500 CASE 1 COUNT</t>
  </si>
  <si>
    <t>7 ROUND ALUMINUM CONTAINER 500 CASE 1 COUNT</t>
  </si>
  <si>
    <t>LID PLASTIC DOME FOR 2047 500 CASE 1 COUNT</t>
  </si>
  <si>
    <t>BOARD LID FOIL LAMINATED FOR 2047 500 CASE 1 EACH</t>
  </si>
  <si>
    <t>ALUMINUM LID FOR 320/321 100 CASE 1 COUNT</t>
  </si>
  <si>
    <t>LID FOIL STEAM TABLE PAN 1/2 SIZE 100 CASE 1 COUNT</t>
  </si>
  <si>
    <t>LID FOIL FOR 2019 4020 50 CASE 1 COUNT</t>
  </si>
  <si>
    <t>LID FOIL FOR 2019 &amp; 4020 50 CASE 1 COUNT</t>
  </si>
  <si>
    <t>CONTAINER 8 INCH ROUND 500 CASE 1 EACH</t>
  </si>
  <si>
    <t>8 INCH LID PLASTIC DOME FOR 2058 500 CASE 1 COUNT</t>
  </si>
  <si>
    <t>CONTAINER FOIL 1 POUND OBLONG 1000 CASE 1 COUNT</t>
  </si>
  <si>
    <t>LID PLASTIC DOME FOR 2059 1000 CASE 1 COUNT</t>
  </si>
  <si>
    <t>CONTAINER ALUMINUM 1.5LB OBLONG 500 CASE 1 COUNT</t>
  </si>
  <si>
    <t>FOIL BOARD LID LAMINATED FOR 2060 500 CASE 1 COUNT</t>
  </si>
  <si>
    <t>CONTAINER 1.5LB OBLONG SHALLOW 500 CASE 1 COUNT</t>
  </si>
  <si>
    <t>CONTAINER 2.25LB OBLONG W/LID 500 CASE 1 COUNT</t>
  </si>
  <si>
    <t>CONTAINER ALUMINUM 2.25LB 500 CASE 1 COUNT</t>
  </si>
  <si>
    <t>DOME LID PLASTIC 2061&amp;62/4032 500 CASE 1 COUNT</t>
  </si>
  <si>
    <t>BOARD LID FOIL LAMINATED 2061&amp;62 500 CASE 1 COUNT</t>
  </si>
  <si>
    <t>FILM FOOD 35 GAUGE 12X2000 2000 FOOT</t>
  </si>
  <si>
    <t>FILM 35 GAUGE WITH SLIDE CUTTER 12X 2000 FOOT</t>
  </si>
  <si>
    <t>FOIL SHEET INTERFOLDED 12X10.75 12 CASE 200 COUNT</t>
  </si>
  <si>
    <t>FOIL SHEET MEDALLION INTERFOLDED 12X10. 200 COUNT</t>
  </si>
  <si>
    <t>FILM FOOD 35 GAUGE 18X2000 2000 FOOT</t>
  </si>
  <si>
    <t>FILM 35 GAUGE WITH SLIDE CUTTER 18X 2000 FOOT</t>
  </si>
  <si>
    <t>FILM FOOD 35 GAUGE 24X2000 2000 FOOT</t>
  </si>
  <si>
    <t>FOIL SHEETS INTERFOLDED 9X10.75 SILVER 12 CASE 200 COUNT</t>
  </si>
  <si>
    <t>9.625 ALUMINUM PAN QUILTED BOTTOM 200 CASE 1 COUNT</t>
  </si>
  <si>
    <t>ALUMINUM CONTAINER FOIL 1 POUND LOAF 200 CASE 1 COUNT</t>
  </si>
  <si>
    <t>PAN ALUMINUM 1/3 SIZE STEAM TABLE 200 CASE 1 COUNT</t>
  </si>
  <si>
    <t>FOIL PAN 1/2 SIZE SHALLOW STEAM TABLE 100 CASE 1 COUNT</t>
  </si>
  <si>
    <t>STEAM TABLE 1/2 SIZE SHALLOW 100 CASE 1 COUNT</t>
  </si>
  <si>
    <t>PAN STEAM TABLE 1/2 SIZE DEEP 100 CASE 1 COUNT</t>
  </si>
  <si>
    <t>PAN FOIL 1/2 SIZE STEAM TABLE DEEP 100 CASE 1 COUNT</t>
  </si>
  <si>
    <t>4 OUNCE ALUMINUM CUP 1000 CASE 1 COUNT</t>
  </si>
  <si>
    <t>9 PIE PAN EXTRA DEEP 500 CASE 1 COUNT</t>
  </si>
  <si>
    <t>TRAY 12 INCH LAZY SUSAN EMBOSSED 25 CASE 1 COUNT</t>
  </si>
  <si>
    <t>DOME LID TRAY PLASTIC 4012/4013 25 CASE 1 COUNT</t>
  </si>
  <si>
    <t>TRAY 12 INCH ROUND SERVING EMBOSSED 25 CASE 1 COUNT</t>
  </si>
  <si>
    <t>DOME LID TRAY PLASTIC 4018/4019 25 CASE 1 COUNT</t>
  </si>
  <si>
    <t>TRAY 18 ROUND SERVING EMBOSSED 25 CASE 1 COUNT</t>
  </si>
  <si>
    <t>ALUMINUM FULL SIZE STEAM TABLE MEDIUM 50 CASE 1 COUNT</t>
  </si>
  <si>
    <t>PAN ALUMINUM FULL SIZE STEAM TABLE SHALLOW 50 CASE 1 COUNT</t>
  </si>
  <si>
    <t>PAN FOIL 1/2 SIZE STEAM TABLE MEDIUM 100 CASE 1 COUNT</t>
  </si>
  <si>
    <t>ALUMINUM LID FOR 318 1/3 SIZE 200 CASE 1 COUNT</t>
  </si>
  <si>
    <t>ALUMINUM CONTAINER OBLONG 4 POUND 250 CASE 1 COUNT</t>
  </si>
  <si>
    <t>LID FOIL LAMINATED BOARD 4040 250 CASE 1 COUNT</t>
  </si>
  <si>
    <t>CONTAINER 1.5 POUND LOAF 500 CASE 1 COUNT</t>
  </si>
  <si>
    <t>ALUMINUM CONTAINER 3 POUND OBLONG 250 CASE 1 COUNT</t>
  </si>
  <si>
    <t>LID FOIL LAMINATED BOARD 4046 250 CASE 1 COUNT</t>
  </si>
  <si>
    <t>3.5 OZ ALUMINUM CUP 1000 CASE 1 COUNT</t>
  </si>
  <si>
    <t>LID PLASTIC DOME FOR 341/4062 1000 CASE 1 COUNT</t>
  </si>
  <si>
    <t>ENTREE SMALL WITH DOME LID SILVER COMBO 200 CASE 1 COUNT</t>
  </si>
  <si>
    <t>ENTREE SMALL WITH DOME LID COMBO 200 CASE 1 COUNT</t>
  </si>
  <si>
    <t>TRAY ENTREE WITH LID MEDIUM SILVER COMBO 50 COUNT</t>
  </si>
  <si>
    <t>GOURMET-TO-GO ENTREE LARGE WITH DOME LID 50 COUNT</t>
  </si>
  <si>
    <t>GOURMET-TO-GO OBLONG SMALL CLEAR WITH LID 200 CASE 1 COUNT</t>
  </si>
  <si>
    <t>FOIL ROLL HEAVY DUTY 12X500' 1 COUNT</t>
  </si>
  <si>
    <t>FOIL SHEET INTERFOLDED 12X10.75 6 CASE 500 COUNT</t>
  </si>
  <si>
    <t>FOIL SHEET MEDALLION INTERFOLDED 12X10. 6 CASE 500 COUNT</t>
  </si>
  <si>
    <t>FOIL MEDALLION STANDARD 18X500' 1 COUNT</t>
  </si>
  <si>
    <t>FOIL ROLL STANDARD 18X500' 1 COUNT</t>
  </si>
  <si>
    <t>FOIL MEDALLION HEAVY DUTY 18X500' 1 COUNT</t>
  </si>
  <si>
    <t>FOIL ROLL HEAVY DUTY 18X500' 1 COUNT</t>
  </si>
  <si>
    <t>FOIL ROLL HEAVY DUTY 24X500' 1 COUNT</t>
  </si>
  <si>
    <t>FOIL SHEETS INTERFOLDED 8X10.75' 6 CASE 500 COUNT</t>
  </si>
  <si>
    <t>FOIL SHEET INTERFOLDED 9X10.75 6 CASE 500 COUNT</t>
  </si>
  <si>
    <t>JIF FOIL</t>
  </si>
  <si>
    <t>JIF FOIL PAN ROUND 7 500 CASE 1 COUNT</t>
  </si>
  <si>
    <t>JIF FOIL ROUND WITH BOARD &amp; PAN 7 300 CASE 1 COUNT</t>
  </si>
  <si>
    <t>JIF FOIL PAN ROUND 9 500 COUNT</t>
  </si>
  <si>
    <t>JIF FOIL ROUND WITH BOARD &amp; PAN 9 150 COUNT</t>
  </si>
  <si>
    <t>JIF FOIL STEAM SAVER HALF SIZE LID 100 CASE 1 COUNT</t>
  </si>
  <si>
    <t>JIF FOIL HALF SIZE STEAM TABLE LID 100 CASE 1 COUNT</t>
  </si>
  <si>
    <t>JIF FOIL STEAM SAVERS HALF SIZE PAN 100 CASE 1 COUNT</t>
  </si>
  <si>
    <t>JIF FOIL HALF SIZE STEAM TABLE DEEP 100 CASE 1 COUNT</t>
  </si>
  <si>
    <t>JIF FOIL STEAM SAVERS FULL SIZE LID 50 CASE 1 COUNT</t>
  </si>
  <si>
    <t>JIF FOIL FULL SIZE STEAM TABLE LID 50 CASE 1 COUNT</t>
  </si>
  <si>
    <t>JIF FOIL STEAM SAVERS FULL SIZE PAN 50 CASE 1 COUNT</t>
  </si>
  <si>
    <t>JIF FOIL FULL SIZE STEAM TABLE DEEP 50 CASE 1 COUNT</t>
  </si>
  <si>
    <t>JIF FOIL FOIL ROLL 12X800 1 COUNT</t>
  </si>
  <si>
    <t>JIF FOIL FOIL ROLL 18X400 1 ROLL</t>
  </si>
  <si>
    <t>JIF FOIL FOIL ROLL 18X400 HEAVY DUTY 1 COUNT</t>
  </si>
  <si>
    <t>JIF FOIL INTERFOLDED FOIL SHEETS 9X10.75 12 CASE 150 COUNT</t>
  </si>
  <si>
    <t>JIFFY-FOIL RETAIL STANDARD 12X20' 1 ROLL</t>
  </si>
  <si>
    <t>JIFFY-FOIL RETAIL HEAVY DUTY 18X20' 24 CASE 1 ROLL</t>
  </si>
  <si>
    <t>HANDY WACKS CORP</t>
  </si>
  <si>
    <t>PAPER BUTCHER BLEACHED 18X1000 900 FOOT</t>
  </si>
  <si>
    <t>TISSUE INTERFOLDED DELI PREMIUM GRADE 12X10.7 12 CASE 500 SHEET</t>
  </si>
  <si>
    <t>TISSUE INTERFOLDED DELI PREMIUM GRADE 15X10.7 12 CASE 500 SHEET</t>
  </si>
  <si>
    <t>TISSUE ECONOMY GRADE INTERFOLDED DELI DRY WAX 10X10.75 12 CASE 500 SHEET</t>
  </si>
  <si>
    <t>TISSUE DELI DRY WAX INTERFOLDED 12X10.75 12 CASE 500 SHEET</t>
  </si>
  <si>
    <t>TISSUE DELI DRY WAX INTERFOLDED 15X10.75 12 CASE 500 SHEET</t>
  </si>
  <si>
    <t>TISSUE DELI DRY WAX INTERFOLDED 8X10.75 12 CASE 500 SHEET</t>
  </si>
  <si>
    <t>TISSUE DELI PAPER FLAT SHEET 12X12 6 CASE 1000 SHEET</t>
  </si>
  <si>
    <t>TISSUE FLAT DELI 15X15 3 CASE 1000 SHEET</t>
  </si>
  <si>
    <t>PAPER DELI FLAT 16X16 3 CASE 1000 SHEET</t>
  </si>
  <si>
    <t>TISSUE FLAT DELI 18X18 2 CASE 1000 SHEET</t>
  </si>
  <si>
    <t>DELI PAPER BLACK CHECK ON NATURAL 10X10 6 CASE 1000 SHEET</t>
  </si>
  <si>
    <t>PAPER DELI BLUE CHECKER 12X12 6 CASE 1000 SHEET</t>
  </si>
  <si>
    <t>TISSUE CHECKERBOARD BLACK 12X12 6 CASE 1000 SHEET</t>
  </si>
  <si>
    <t>TISSUE MEXICAN PEPPER 12X12 6 CASE 1000 SHEET</t>
  </si>
  <si>
    <t>TISSUE CHECKERBOARD RED 12X12 6 CASE 1000 SHEET</t>
  </si>
  <si>
    <t>WRAP FOIL LAMINATED 16X14GPPW65 2 CASE 500 SHEET</t>
  </si>
  <si>
    <t>WRAP FOIL LAMINATED 14X10.75 5 CASE 500 SHEET</t>
  </si>
  <si>
    <t>TISSUE FLAT SANDWICH 12X12 8 CASE 1000 SHEET</t>
  </si>
  <si>
    <t>TISSUE FOOD AND DELI WRAP INTERFOLDED 10X10.75 12 CASE 500 SHEET</t>
  </si>
  <si>
    <t>TISSUE FOOD AND DELI WRAP INTERFOLDED 12X10.75 12 CASE 500 SHEET</t>
  </si>
  <si>
    <t>TISSUE FOOD AND DELI WRAP INTERFOLDED 15X10.75 12 CASE 500 SHEET</t>
  </si>
  <si>
    <t>TISSUE FOOD AND DELI WRAP INTERFOLDED 8X10.75 12 CASE 500 SHEET</t>
  </si>
  <si>
    <t>HOT DOG TRAYS 6 610740 6 BOX 500 SHEET</t>
  </si>
  <si>
    <t>PAPER PATTY 5X4.75 24 CASE 1000 SHEET</t>
  </si>
  <si>
    <t>DRILLED PATTY PAPER 5.5X5.5 24 CASE 1000 SHEET</t>
  </si>
  <si>
    <t>LINER QUILON PAN 12X16.25 2000 SHEET</t>
  </si>
  <si>
    <t>LINER QUILON PAN 12X16.25 1000 SHEET</t>
  </si>
  <si>
    <t>LINER PAN QUILON TREADED 16.375X24.375 1000 SHEET</t>
  </si>
  <si>
    <t>TISSUE WAX INTERFOLDED 10X10.75 8 CASE 1000 SHEET</t>
  </si>
  <si>
    <t>TISSUE WAX INTERFOLDED 12X10.75 6 CASE 1000 SHEET</t>
  </si>
  <si>
    <t>TISSUE BAKERY INTERFOLDED 6X10.75 10 CASE 1000 SHEET</t>
  </si>
  <si>
    <t>TISSUE WAX INTERFOLDED BAKERY 6X10.75 10 CASE 1000 SHEET</t>
  </si>
  <si>
    <t>HILEX POLY CO.  LLC</t>
  </si>
  <si>
    <t>HONEY BAKED HAM MEDIUM 12X8X20 1000 COUNT</t>
  </si>
  <si>
    <t>HOFFMASTER</t>
  </si>
  <si>
    <t>HOFFMASTER 602D43 BEIGE DINNER NAPKIN 4 CASE 250 EACH</t>
  </si>
  <si>
    <t>NAPKIN BEVERAGE WHITE 10X10 1/4 FOLD 8 CASE 125 EACH</t>
  </si>
  <si>
    <t>HOFFMASTER WHITE PLASTIC ROLL TABLE COVER 1 ROLL</t>
  </si>
  <si>
    <t>HOFFMASTER CATERWRAP PRE-ROLLED NAPKIN W/HVY WT CUTLERY BLACK 2 CASE 50 EACH</t>
  </si>
  <si>
    <t>HOFFMASTER 814 WHITE ECONOMY LINEN-LIKE FLAT 1000 EACH</t>
  </si>
  <si>
    <t>DINNER NAPKIN HOLIDAY DOTS RECYCLED 4 CASE 250 EACH</t>
  </si>
  <si>
    <t>BEVERAGE NAPKIN HOLIDAY DOTS RECYCLED 6 CASE 250 EACH</t>
  </si>
  <si>
    <t>NAPKIN BEVERAGE WHITE 9.5X9.5 2 PLY 4 CASE 250 EACH</t>
  </si>
  <si>
    <t>NAPKIN BEVERAGE BLACK 9.5X9.5 2 PLY 4 CASE 250 EACH</t>
  </si>
  <si>
    <t>NAPKIN DINNER BLACK 15X17 2 PLY 8 CASE 125 EACH</t>
  </si>
  <si>
    <t>2 PLY 17X17 WHITE NAPKIN 12 CASE 100 COUNT</t>
  </si>
  <si>
    <t>HOFFMASTER 4108 WHITE WHITE TABLE COVER 25 EACH</t>
  </si>
  <si>
    <t>HOFFMASTER BRIGHT WHITE PAPER ROLL TABLE COVER 1 ROLL</t>
  </si>
  <si>
    <t>HOFFMASTER 901 EL13 HOMESPUN STRAIGHT EDGE 1000 EACH</t>
  </si>
  <si>
    <t>PLACEMAT DUBONNET STRAIGHT EDGE 1000 EACH</t>
  </si>
  <si>
    <t>HOFFMASTER 975 NMD11 RED PLACEMAT 1000 EACH</t>
  </si>
  <si>
    <t>HOFFMASTER 975 NMD22 NAVY PLACEMAT 1000 EACH</t>
  </si>
  <si>
    <t>HOFFMASTER 975 NMD24 BURGUNDY PLACEMAT 1000 EACH</t>
  </si>
  <si>
    <t>HOFFMASTER 975 NMD25 DUSTY ROSE PLACEMAT 1000 EACH</t>
  </si>
  <si>
    <t>HOFFMASTER 975 NMD37 HUNTER GREEN PLACEMAT 1000 EACH</t>
  </si>
  <si>
    <t>HOFFMASTER 975 NMD13 BLACK PLACEMAT 1000 EACH</t>
  </si>
  <si>
    <t>PLACEMAT SPLENDID TREE RECYCLED 1000 EACH</t>
  </si>
  <si>
    <t>PLACEMAT SPLENDID TREE GIFT 1000 EACH</t>
  </si>
  <si>
    <t>HOFFMASTER 901 FDCR PLACEMAT 4 COLOR ME DESIGN 4 CASE 250 EACH</t>
  </si>
  <si>
    <t>BEVERAGE NAPKIN ECONOMY 1 PLY 4000 CASE 1 EACH</t>
  </si>
  <si>
    <t>HOFFMASTER CAMBRIDGE LACE DOILY 4 1000 EACH</t>
  </si>
  <si>
    <t>HOFFMASTER CAMBRIDGE LACE DOILY 5 INCH 1000 EACH</t>
  </si>
  <si>
    <t>HOFFMASTER CAMBRIDGE LACE DOILY 6 1000 EACH</t>
  </si>
  <si>
    <t>HOFFMASTER CAMBRIDGE LACE DOILY 10 INCH 1000 EACH</t>
  </si>
  <si>
    <t>HOFFMASTER CAMBRIDGE LACE DOILY 12 INCH 1000 EACH</t>
  </si>
  <si>
    <t>DINNER NAPKIN 3M 2 PLY 1/4 FOLD 60 CASE 50 EACH</t>
  </si>
  <si>
    <t>DISPENSER NAPKIN HOLIDAY HOLLY 20 CASE 300 EACH</t>
  </si>
  <si>
    <t>DINNER NAPKIN SPLENDID TREE RECYCLED 4 CASE 250 EACH</t>
  </si>
  <si>
    <t>DINNER NAPKIN HOLIDAY HOLLY 4 CASE 250 EACH</t>
  </si>
  <si>
    <t>BEVERAGE NAPKIN SANTA HELPERS 12 CASE 50 EACH</t>
  </si>
  <si>
    <t>BEVERAGE NAPKIN SPLENDID TREE RECYCLED 6 CASE 250 EACH</t>
  </si>
  <si>
    <t>BEVERAGE NAPKIN HOLIDAY HOLLY 4 CASE 250 EACH</t>
  </si>
  <si>
    <t>HOFFMASTER 812 6 LONGLAST LINEN-LIKE GUEST TOWEL 4 CASE 125 EACH</t>
  </si>
  <si>
    <t>HOFFMASTER FLAT WHITE NAPKIN BAND. 4 CASE 2500 EACH</t>
  </si>
  <si>
    <t>HOFFMASTER FLAT HUNTER GREEN NAPKIN BAND. 4 CASE 2500 EACH</t>
  </si>
  <si>
    <t>HOFFMASTER FLAT BLACK NAPKIN BAND. 4 CASE 2500 EACH</t>
  </si>
  <si>
    <t>COASTER WHITE BUDGET BOARD 1000 EACH</t>
  </si>
  <si>
    <t>KIDS CRAYON REFILL BOX 60 CASE 4 EACH</t>
  </si>
  <si>
    <t>ALL SET BLACK HEAVY WEIGHT POLY WRAPPED CUTLERY IN LINENSAVER NAPKIN 2 CASE 50 EACH</t>
  </si>
  <si>
    <t>DOILY LACE. FRENCH 10 INCH 10 CASE 500 EACH</t>
  </si>
  <si>
    <t>DOILY LACE. FRENCH 12 INCH 10 CASE 500 EACH</t>
  </si>
  <si>
    <t>DOILY LACE. FRENCH 5 INCH 10 CASE 1000 EACH</t>
  </si>
  <si>
    <t>DOILY LACE. FRENCH 6 10 CASE 1000 EACH</t>
  </si>
  <si>
    <t>DOILY LACE. FRENCH 8 INCH 10 CASE 500 EACH</t>
  </si>
  <si>
    <t>FASHN POINT GUEST TOWEL W11.5X15.5 6 CASE 100 EACH</t>
  </si>
  <si>
    <t>BAKING CUP WHITE DRY WAX .75. FLUID OUNCES 20 CASE 500 EACH</t>
  </si>
  <si>
    <t>BAKING CUP WHITE DRY WAX 2 FLUID OUNCES 20 CASE 500 EACH</t>
  </si>
  <si>
    <t>TRAY HOT DOG 8 INCH MEDIUM WEIGHT CLOSED END 3000 EACH</t>
  </si>
  <si>
    <t>BEVERAGE NAPKIN 10X10 RED FACIAL GRADE 2 PLY 4 CASE 250 EACH</t>
  </si>
  <si>
    <t>BEVERAGE NAPKIN 10X10 IVORY FACIAL GRADE 2 PLY 4 CASE 250 EACH</t>
  </si>
  <si>
    <t>BEVERAGE NAPKIN 10X10 BURGUNDY FACIAL GRADE 2 PLY 4 CASE 250 EACH</t>
  </si>
  <si>
    <t>BEVERAGE NAPKIN 10X10 BLACK FACIAL GRADE 2 PLY 4 CASE 250 EACH</t>
  </si>
  <si>
    <t>NAPKINS DINNER 15.5X17 RED 2 PLY 4 CASE 250 EACH</t>
  </si>
  <si>
    <t>NAPKINS DINNER 15.5X17 IVORY 2 PLY 4 CASE 250 EACH</t>
  </si>
  <si>
    <t>NAPKINS DINNER 15.5X17 BURGUNDY 2 PLY 4 CASE 250 EACH</t>
  </si>
  <si>
    <t>NAPKINS DINNER 15.5X17 DARK GREEN 4 CASE 250 EACH</t>
  </si>
  <si>
    <t>NAPKIN PAPER BAND WHITE 1.5X4.5 10 CASE 2000 EACH</t>
  </si>
  <si>
    <t>NAPKIN PAPER BANDS BURGUNDY 1.5X4.5 10 CASE 20000 EACH</t>
  </si>
  <si>
    <t>NAPKIN PAPER BANDS RED 1.5X4.5 10 CASE 2000 EACH</t>
  </si>
  <si>
    <t>NAPKIN PAPER BANDS GREEN 1.5X4.25 20000 EACH</t>
  </si>
  <si>
    <t>PAPER BAND NAPKIN CINNAMON 1.5X4.5 10 CASE 2000 EACH</t>
  </si>
  <si>
    <t>PLATE 9 WHITE RIGIDEEP PAPER 10 CASE 50 EACH</t>
  </si>
  <si>
    <t>PLACEMAT 10X14 ANNIVERSARY STRAIGHT EDGE 1000 EACH</t>
  </si>
  <si>
    <t>PLACEMAT 9.5X13.5 STRAIGHT EDGE WHITE 1000 EACH</t>
  </si>
  <si>
    <t>PLACEMAT 9.75X13.75 SCALLOPED WHITE 1000 EACH</t>
  </si>
  <si>
    <t>HEAVY WEIGHT PLACEMAT 9.75X13.75 BURGUNDY ECLIPSE CUT 1000 EACH</t>
  </si>
  <si>
    <t>HEAVY WEIGHT PLACEMAT 9.75X13.75 DARK GREEN ECLIPSE CUT 1000 EACH</t>
  </si>
  <si>
    <t>PLACEMAT 9.5X13.5 ITALY STRAIGHT EDGE 1000 EACH</t>
  </si>
  <si>
    <t>PLACEMAT 9.5X13.5 GOLD GREEK 1000 EACH</t>
  </si>
  <si>
    <t>PLACEMAT 9.5X13.5 MEXICO 1000 EACH</t>
  </si>
  <si>
    <t>PLACEMAT 9.5X13.5 DOODLE 1000 EACH</t>
  </si>
  <si>
    <t>PLACEMAT 9.5X13.5 SPORTS TRIVIA 1000 EACH</t>
  </si>
  <si>
    <t>PLACEMAT GREEK KEY BUDGET 9.5X13.5 1000 EACH</t>
  </si>
  <si>
    <t>PLACEMAT BURGUNDY 9.75X13.75 SCALLOP EDGE 1000 EACH</t>
  </si>
  <si>
    <t>PLACEMAT RED 9.75X13.75 SCALLOP EDGE 1000 EACH</t>
  </si>
  <si>
    <t>PLACEMAT IRISH GREEN 9.75X13.75 SCALLOP EDGE 1000 EACH</t>
  </si>
  <si>
    <t>PLACEMAT HUNTER GREEN 9.75X13.75 SCALLOP EDGE 1000 EACH</t>
  </si>
  <si>
    <t>PLACEMAT NAVY 9.75X13.75 SCALLOP EDGE 1000 EACH</t>
  </si>
  <si>
    <t>PLACEMAT BEIGE 9.75X13.75 SCALLOP EDGE 1000 EACH</t>
  </si>
  <si>
    <t>NAPKIN TOWEL GUEST WHITE 15X17 500 CASE 1 EACH</t>
  </si>
  <si>
    <t>LINEN SAVER NAPKIN FLAT PACK WHITE 1000 EACH</t>
  </si>
  <si>
    <t>TABLE COVER 40X300'WH POLY ROLL 1 EACH</t>
  </si>
  <si>
    <t>TABLE COVER 54X108 WHITE 20 EACH</t>
  </si>
  <si>
    <t>TABLE COVER 54X54 WHITE TISSUE/POLY 40 EACH</t>
  </si>
  <si>
    <t>TABLE COVER WHITE TISSUE/POLY 54X108 25 EACH</t>
  </si>
  <si>
    <t>TRAYCOVERS ANNIVERSARY 14X19 SCALLOPED 2000 EACH</t>
  </si>
  <si>
    <t>INTEPLAST</t>
  </si>
  <si>
    <t>WRAP FILM 12X2000 WITH CUTTER 1 ROLL</t>
  </si>
  <si>
    <t>WRAP FILM 18X2000 WITH CUTTER 1 ROLL</t>
  </si>
  <si>
    <t>WRAP FILM 24X2000 1 ROLL</t>
  </si>
  <si>
    <t>JACCARD CORP</t>
  </si>
  <si>
    <t>TENDERIZER SIMPLY BETTER 15 1 EACH</t>
  </si>
  <si>
    <t>BLADE ORIGINAL 16 MEAT TENDERIZER CHINA 1 EACH</t>
  </si>
  <si>
    <t>TENDERIZER SIMPLY BETTER 45 REMOVABLE 1 EACH</t>
  </si>
  <si>
    <t>BLADE ORIGINAL 48 MEAT TENDERIZER CHINA 1 EACH</t>
  </si>
  <si>
    <t>MALLET ALUMINUM 1 EACH</t>
  </si>
  <si>
    <t>MANDOLIN STAINLESS STEEL 1 EACH</t>
  </si>
  <si>
    <t>PEELER VEGETABLE &amp; FRUIT Y.DESIGN 1 EACH</t>
  </si>
  <si>
    <t>HANDLE SLICER ADJUSTABLE 1 COUNT</t>
  </si>
  <si>
    <t>JOHN RITZENTHALER COMPANY</t>
  </si>
  <si>
    <t>CLOTH CHEESE 80 YARD FINE 10 COUNT</t>
  </si>
  <si>
    <t>BIB APRON CHEF WHITE 2 POCKET 12 COUNT</t>
  </si>
  <si>
    <t>APRON DURA SERVE BISTRO 2 POCKET 12 COUNT</t>
  </si>
  <si>
    <t>OVEN MITT CHEF PYROTEX BEIGE 15 12 PAIR</t>
  </si>
  <si>
    <t>OVEN MITT CHEF PYROTEX BEIGE 17 12 PAIR</t>
  </si>
  <si>
    <t>BIB APRON CHEF BURGUNDY 3 POCKET 12 COUNT</t>
  </si>
  <si>
    <t>BIB APRON CHEF BLACK THREE POCKET 12 COUNT</t>
  </si>
  <si>
    <t>BIB APRON CHEF HUNTER GREEN THREE POCKET 12 COUNT</t>
  </si>
  <si>
    <t>BIB APRON CHEF NAVY 3 POCKET 12 COUNT</t>
  </si>
  <si>
    <t>BIB APRON CHEF RED THREE POCKET 12 COUNT</t>
  </si>
  <si>
    <t>APRON WAIST CHEF BLACK 3 POCKET 12 COUNT</t>
  </si>
  <si>
    <t>APRON WAIST CHEF HUNTER GREEN 3 POCKET 12 COUNT</t>
  </si>
  <si>
    <t>BIB APRON CHEF WHITE WITH PENCIL POCKET 12 COUNT</t>
  </si>
  <si>
    <t>TOWEL BAR MOP CHEF'S CHOICE 1 DOZEN</t>
  </si>
  <si>
    <t>HAT CHEF'S CHOICE 13 ECONOMY OPEN WEAVE 1 COUNT</t>
  </si>
  <si>
    <t>COAT CHEF PLASTIC BUTTON EXTRA LARGE 1 COUNT</t>
  </si>
  <si>
    <t>COAT CHEF PLASTIC BUTTON XX-LARGE 1 COUNT</t>
  </si>
  <si>
    <t>COAT CHEF PLASTIC BUTTON LARGE 1 COUNT</t>
  </si>
  <si>
    <t>COAT CHEF PLASTIC BUTTON MEDIUM 1 COUNT</t>
  </si>
  <si>
    <t>COAT CHEF PLASTIC BUTTON SMALL 1 COUNT</t>
  </si>
  <si>
    <t>MITT OVEN 16 SILICONE 12 PAIR</t>
  </si>
  <si>
    <t>BIB APRON CHEF VINYL CLEAR 12 COUNT</t>
  </si>
  <si>
    <t>POT HOLDER PAN GRABBER CHEF WITH STEAM BARRIER 12 COUNT</t>
  </si>
  <si>
    <t>SHIRT COOKS XLARGE 1 COUNT</t>
  </si>
  <si>
    <t>SHIRT COOKS LARGE 1 COUNT</t>
  </si>
  <si>
    <t>SHIRT COOKS MEDIUM 1 COUNT</t>
  </si>
  <si>
    <t>SHIRT COOKS SMALL 1 COUNT</t>
  </si>
  <si>
    <t>POTHOLDER CHEF TERRY BLACK 8 INCH 12 PAIR</t>
  </si>
  <si>
    <t>BIB APRON CHEF VINYL BROWN 12 COUNT</t>
  </si>
  <si>
    <t>APRON VINYL BIB. BROWN HEAVY DUTY 12 COUNT</t>
  </si>
  <si>
    <t>TWINE BUTCHER 16 PLY. 32 YARD 1 ROLL</t>
  </si>
  <si>
    <t>LIBBEY GLASS INC.</t>
  </si>
  <si>
    <t>GLASS 23.75 OUNCE ATELIER CABERNET 1 DOZEN</t>
  </si>
  <si>
    <t>GLASS 20.63 OUNCE PINOT NOIR 1 DOZEN</t>
  </si>
  <si>
    <t>GLASS PILSNER BULGE TOP HEAT TREATED 10 OUNCE 3 DOZEN</t>
  </si>
  <si>
    <t>COCKTAIL SERIES V225 12 COUNT</t>
  </si>
  <si>
    <t>GLASS 2.25 OZ SERIES V65 SHOOTER 2 DOZEN</t>
  </si>
  <si>
    <t>GLASS 1.38OZ BICONIC BABY 4 DOZEN</t>
  </si>
  <si>
    <t>GLASS PILSNER HOUR HEAT TREATED 9OZ 3 DOZEN</t>
  </si>
  <si>
    <t>GLASS 10OZ PILSNER HOUR GLASS HEAT TREATED 2 DOZEN</t>
  </si>
  <si>
    <t>GLASS 12 OUNCE HOUR GLASS PILSNER 2 DOZEN</t>
  </si>
  <si>
    <t>GLASS PLNSR HOUR 15 OUNCE 3 DOZEN</t>
  </si>
  <si>
    <t>GLASS PILSNER 8 OUNCE HEAVY BASE 6 DOZEN</t>
  </si>
  <si>
    <t>GLASS HI-BALL HEAVY BASE 7 OUNCE 4 DOZEN</t>
  </si>
  <si>
    <t>GLASS OLD FASHIONED HEAVY BASE FLUTED 6 DOZEN</t>
  </si>
  <si>
    <t>GLASS PILSNER FLARE 10 OUNCE 3 DOZEN</t>
  </si>
  <si>
    <t>GLASS PILSNER HEAT TREATED 19.25 OUNCE 1 DOZEN</t>
  </si>
  <si>
    <t>GLASS HIBALL HEAVY BASE 9 OUNCE 4 DOZEN</t>
  </si>
  <si>
    <t>GLASS COLLINS HEAVY BASE 11 OUNCE 3 DOZEN</t>
  </si>
  <si>
    <t>GLASS OLD FASHIONED HEAVY BASE 4 DOZEN</t>
  </si>
  <si>
    <t>GLASS OLD FASHIONED 9OZ HEAVY BASE 3 DOZEN</t>
  </si>
  <si>
    <t>GLASS PILSNER HEAVY BASE BULGE TOP 10OZ 3 DOZEN</t>
  </si>
  <si>
    <t>GLASS HI-BALL DIPLOMAT 6.5 6 DOZEN</t>
  </si>
  <si>
    <t>GLASS HI-BALL 8 OUNCE HEAVY BASE 4 DOZEN</t>
  </si>
  <si>
    <t>GLASS HIGH BALL 9 OUNCE HEAVY BASE 3 DOZEN</t>
  </si>
  <si>
    <t>TUMBLER ROOM HEAVY BASE 4 DOZEN</t>
  </si>
  <si>
    <t>GLASS HIGH BALL ENGLISH 13 OUNCE 4 DOZEN</t>
  </si>
  <si>
    <t>GLASS PILSNER HEAVY BASE 12 OUNCE 3 DOZEN</t>
  </si>
  <si>
    <t>DISH 8.5 OUNCE DUNE SUNDAE 6 COUNT</t>
  </si>
  <si>
    <t>GLASS MALTED FOOTED 100Z HEAT TREATED 3 DOZEN</t>
  </si>
  <si>
    <t>GLASS SODA FOOTED 12.5 OUNCE 3 DOZEN</t>
  </si>
  <si>
    <t>GLASS BEVERAGE HEAT TREATED 9 OUNCE FOOTED 3 DOZEN</t>
  </si>
  <si>
    <t>GLASS BEER MUG 20OZ ENGLISH PUB 3 DOZEN</t>
  </si>
  <si>
    <t>GLASS BLUE RIBBON 16 ENGLISH PUB HEAT TREATED 3 DOZEN</t>
  </si>
  <si>
    <t>GLASS WATCH 5 OUNCE HEAVY BASE 6 DOZEN</t>
  </si>
  <si>
    <t>GLASS PILSNER 7OZ HEAVY BASE BULGE TOP 6 DOZEN</t>
  </si>
  <si>
    <t>GLASS SPLIT 6OZ HEAVY BASE 6 DOZEN</t>
  </si>
  <si>
    <t>GLASS COOLER 14OZ DURATUFF 2 DOZEN</t>
  </si>
  <si>
    <t>GLASS MIXING DURATUFF 20 OUNCE 2 DOZEN</t>
  </si>
  <si>
    <t>GLASS ROCK TALL GIBRALTAR9OZ 3 DOZEN</t>
  </si>
  <si>
    <t>GLASS ROCK 10OZ GIBRALTAR 3 DOZEN</t>
  </si>
  <si>
    <t>GLASS ROCK DOUBLE 13 OUNCE GIBRALTER 3 DOZEN</t>
  </si>
  <si>
    <t>GLASS GIBRALTAR DURATUFF COOLER 12 OUNCE 3 DOZEN</t>
  </si>
  <si>
    <t>GLASS HIGH BALL 9OZ GBRTR 3 DOZEN</t>
  </si>
  <si>
    <t>GLASS BEVERAGE 10 OUNCE DURATUFF 3 DOZEN</t>
  </si>
  <si>
    <t>GLASS BEVERAGE 12 OUNCE 3 DOZEN</t>
  </si>
  <si>
    <t>GLASS HIGH BALL 7OZ GBRTR 3 DOZEN</t>
  </si>
  <si>
    <t>GLASS ROCK 8 OUNCE 3 DOZEN</t>
  </si>
  <si>
    <t>GLASS ROCK 7OZ GBRTR DRTUF 3 DOZEN</t>
  </si>
  <si>
    <t>GLASS ROCK 9 OUNCE DURATUFF 3 DOZEN</t>
  </si>
  <si>
    <t>GLASS ROCK DOUBLE 12 OUNCE 3 DOZEN</t>
  </si>
  <si>
    <t>GLASS BEVERAGE 14 OUNCE 3 DOZEN</t>
  </si>
  <si>
    <t>GLASS TALL ROCKS GIBRALTER DURATUFF 7OZ 3 DOZEN</t>
  </si>
  <si>
    <t>GLASS GIBRALTER DURATUFF 8.5 WINE 3 DOZEN</t>
  </si>
  <si>
    <t>GLASS GOBLET 11.5 OUNCE 3 DOZEN</t>
  </si>
  <si>
    <t>GLASS ROCK GIBRALTAR 4.5OZ 3 DOZEN</t>
  </si>
  <si>
    <t>GLASS ROCK 5.5OZ GIBALTAR 3 DOZEN</t>
  </si>
  <si>
    <t>GLASS ICED TEA 22 OUNCE 2 DOZEN</t>
  </si>
  <si>
    <t>GLASS COOLER GIBRALTER 16 OUNCE 2 DOZEN</t>
  </si>
  <si>
    <t>GLASS PLATE DESSERT SALAD DURATUFF 3 DOZEN</t>
  </si>
  <si>
    <t>GLASS PLATE SALAD SOUP 8 INCH 3 DOZEN</t>
  </si>
  <si>
    <t>GLASS DESSERT SALAD PLATE DURATUFF 3 DOZEN</t>
  </si>
  <si>
    <t>GLASS FOOTED PILSNER GIBRALTER 14OZ 2 DOZEN</t>
  </si>
  <si>
    <t>GLASS HIGH BALL EVEREST 9 OUNCE 3 DOZEN</t>
  </si>
  <si>
    <t>GLASS JUICE 5 OUNCE EVEREST 3 DOZEN</t>
  </si>
  <si>
    <t>GLASS ROCK 7OZ EVEREST 3 DOZEN</t>
  </si>
  <si>
    <t>GLASS ROCK 8OZ EVEREST 3 DOZEN</t>
  </si>
  <si>
    <t>GLASS ROCK 9OZ EVEREST 3 DOZEN</t>
  </si>
  <si>
    <t>GLASS ROCK EVEREST 12 OUNCE 3 DOZEN</t>
  </si>
  <si>
    <t>GLASS BEVERAGE 12OZ EVEREST 3 DOZEN</t>
  </si>
  <si>
    <t>GLASS COOLER 14OZ DURATUFF EVEREST 3 DOZEN</t>
  </si>
  <si>
    <t>GLASS RAMEKIN 1.5OZ 3 DOZEN</t>
  </si>
  <si>
    <t>GLASS RAMEKIN 3OZ 3 DOZEN</t>
  </si>
  <si>
    <t>GLASS HIGH BALL 7OZ WINCHESTER 3 DOZEN</t>
  </si>
  <si>
    <t>GLASS ROCK 5.5OZ WINCHESTER 3 DOZEN</t>
  </si>
  <si>
    <t>GLASS ROCK 8OZ WINCHESTER 3 DOZEN</t>
  </si>
  <si>
    <t>GLASS HIGH BALL 9OZ WINCHESTER 3 DOZEN</t>
  </si>
  <si>
    <t>GLASS ROCK 10OZ WINCHESTER 3 DOZEN</t>
  </si>
  <si>
    <t>GLASS BEVERAGE 12.5 OUNCE DURATUFF 3 DOZEN</t>
  </si>
  <si>
    <t>GLASS COOLER 16OZ WINCHESTER 3 DOZEN</t>
  </si>
  <si>
    <t>GLASS WINE 6.5 OUNCE WINCHESTER 3 DOZEN</t>
  </si>
  <si>
    <t>GLASS WINE 8.5 OUNCE WINCHESTER 3 DOZEN</t>
  </si>
  <si>
    <t>GLASS GOBLET 10.5X10X21 OUNCE DURATUFF 3 DOZEN</t>
  </si>
  <si>
    <t>GLASS COOLER 15.25 OUNCE INVERNESS 2 DOZEN</t>
  </si>
  <si>
    <t>GLASS HIGH BLEND INVERNESS CLEAR 10OZ 3 DOZEN</t>
  </si>
  <si>
    <t>GLASS ICED TEA INVERNESS CLEAR 14OZ 3 DOZEN</t>
  </si>
  <si>
    <t>GLASS 7 OUNCE INVERNESS ROCKS DURATUFF 2 DOZEN</t>
  </si>
  <si>
    <t>GLAS ROCK 9OZ DURATUFF INVERNESS 3 DOZEN</t>
  </si>
  <si>
    <t>GLASS INVERNESS DOUBLE OLD FASHIONED 12.5 OUNCE 2 DOZEN</t>
  </si>
  <si>
    <t>GLASS BEVERAGE 12OZ INVERNESS 3 DOZEN</t>
  </si>
  <si>
    <t>GLASS HIGH BALL DURATUFF INVERNESS 9OZ 3 DOZEN</t>
  </si>
  <si>
    <t>GLASS SPIRIT SHOOTER CLEAR 2 DOZEN</t>
  </si>
  <si>
    <t>GLASS SALAD PLATE 3 DOZEN</t>
  </si>
  <si>
    <t>GLAS PLATE SALAD HARMONY CLEAR 3 DOZEN</t>
  </si>
  <si>
    <t>GLASS MINI MIXING HEAT TREATED 9 OUNCE 2 DOZEN</t>
  </si>
  <si>
    <t>GLASS MIXING DOUBLE OF HEAT TREATED 12 2 DOZEN</t>
  </si>
  <si>
    <t>GLASS MIXING BEVERAGE HEAT TREATED 12 OUNCE 2 DOZEN</t>
  </si>
  <si>
    <t>GLASS BEVERAGE 12 OUNCE DAKOTA CLEAR 3 DOZEN</t>
  </si>
  <si>
    <t>GLASS COOLER 16OZ DAKOTA CLEAR 2 DOZEN</t>
  </si>
  <si>
    <t>GLASS JUICE 9 DURATUFF PANELED CLEAR 3 DOZEN</t>
  </si>
  <si>
    <t>GLASS TUMBLER PANELED CLEAR 12 OUNCE 3 DOZEN</t>
  </si>
  <si>
    <t>GLASS COOLER 16 DURATUFF PANELED 3 DOZEN</t>
  </si>
  <si>
    <t>GLASS ICED TEA DRTUF 20 OUNCE 2 DOZEN</t>
  </si>
  <si>
    <t>GLASS CASUAL COOLER DURATUFF 20 1 DOZEN</t>
  </si>
  <si>
    <t>GLASS COOLER 16 OUNCE GIBRALTER 3 DOZEN</t>
  </si>
  <si>
    <t>GLASS BEVERAGE 12OZ GBRT CLEAR 3 DOZEN</t>
  </si>
  <si>
    <t>GLASS HIGH BALL 9 GIBRALTER STACKABLE 3 DOZEN</t>
  </si>
  <si>
    <t>GLASS ROCK GIBRALTER CLEAR 9OZ 3 DOZEN</t>
  </si>
  <si>
    <t>GLASS ROCK 7 OUNCE GIBRALTER CLEAR 3 DOZEN</t>
  </si>
  <si>
    <t>COOLER GILBITAR DURATUFF 20 OUNCE 2 DOZEN</t>
  </si>
  <si>
    <t>GLASS FOOTED GIBRALTER PILSNER 1 DOZEN</t>
  </si>
  <si>
    <t>GLASS 7 OUNCE ENDEAVOR ROCKS 1 DOZEN</t>
  </si>
  <si>
    <t>GLASS 9 OUNCE ENDEAVOR ROCKS 1 DOZEN</t>
  </si>
  <si>
    <t>GLASS 10 OUNCE ENDEAVOR HI-BALL 1 DOZEN</t>
  </si>
  <si>
    <t>GLASS 12 OUNCE ENDEAVOR DOUBLE OLD FASHIONED 1 DOZEN</t>
  </si>
  <si>
    <t>GLASS ENDEAVOR 12 OUNCE BEVERAGE 1 DOZEN</t>
  </si>
  <si>
    <t>GLASS 14 OUNCE ENDEAVOR BEVERAGE 1 DOZEN</t>
  </si>
  <si>
    <t>GLASS ENDEAVOR DURATUFF COOLER 16 1 DOZEN</t>
  </si>
  <si>
    <t>GLASS PUB STACKING ENDEAVOR 1 DOZEN</t>
  </si>
  <si>
    <t>GLASS 22 OUNCE MIXING DURATUFF 2 DOZEN</t>
  </si>
  <si>
    <t>ENDEAVOR DURATUFF ESPRESSO 3.7 OUNCE 1 DOZEN</t>
  </si>
  <si>
    <t>GLASS COOLER HEAVY BASE 20 OUNCE 1 DOZEN</t>
  </si>
  <si>
    <t>BEVERAGE ELAN DURATUFF 12OZ 1 DOZEN</t>
  </si>
  <si>
    <t>GLASS ELAN BEVERAGE DURATUFF 14OZ 1 DOZEN</t>
  </si>
  <si>
    <t>COOLER ELAN DURATUFF 16 1 DOZEN</t>
  </si>
  <si>
    <t>GLASS BEVERAGE HEAVY BASE 12.5 OUNCE 4 DOZEN</t>
  </si>
  <si>
    <t>PILSNER 16 OUNCE 2 DOZEN</t>
  </si>
  <si>
    <t>GLASS HIGH BALL CLEAR HEAVY BASE 4 DOZEN</t>
  </si>
  <si>
    <t>GLASS BEER 23 OUNCE GIANT 1 DOZEN</t>
  </si>
  <si>
    <t>GLASS BEER GIANT 23 OUNCE 1 DOZEN</t>
  </si>
  <si>
    <t>GLASS GIANT BEER 23 OUNCE 1 DOZEN</t>
  </si>
  <si>
    <t>GLASS MIXING 20 OUNCE CLEAR 2 DOZEN</t>
  </si>
  <si>
    <t>GLASS MIXING 16OZ HEAT TREATED CLEAR 2 DOZEN</t>
  </si>
  <si>
    <t>GLASS CORDIAL 2.5 OUNCE SHEER RIM 2 DOZEN</t>
  </si>
  <si>
    <t>GLASS ROCKS SUPER. 2 DOZEN</t>
  </si>
  <si>
    <t>GLASS ROCK 7 OUNCE SHEER RIM 2 DOZEN</t>
  </si>
  <si>
    <t>GLASS ROCK 10.5X10X21 SUPER SHAM SHEER RIM 2 DOZEN</t>
  </si>
  <si>
    <t>GLASS BEVERAGE 12 SUPER SHAM SHEER RIM 2 DOZEN</t>
  </si>
  <si>
    <t>GLASS 15 OUNCE SUPER SHAM COOLER 2 DOZEN</t>
  </si>
  <si>
    <t>GLASS HIGH BALL ENGLISH HEAVY BASE 4 DOZEN</t>
  </si>
  <si>
    <t>GLASS SHOOTER TEQUILA 1OZ 6 DOZEN</t>
  </si>
  <si>
    <t>GLASS SODA GOVERNOR CLINTON 16 OUNCE 3 DOZEN</t>
  </si>
  <si>
    <t>GLASS COOLER BLUE COBALT 17 OUNCE 1 DOZEN</t>
  </si>
  <si>
    <t>GLASS HI-BALL HEAVY BASE 10.5X10X21 OUNCE 4 DOZEN</t>
  </si>
  <si>
    <t>GLASS SCHOONER 21OZ CLEAR 1 DOZEN</t>
  </si>
  <si>
    <t>GLASS PILSNER 9 OXFORD HOUR GLASS 3 DOZEN</t>
  </si>
  <si>
    <t>DOUBLE OLD FASHIONED IMPRESSIONS 12OZ 1 DOZEN</t>
  </si>
  <si>
    <t>GLASS 10 OUNCE HOUR GLASS PILSNER 2 DOZEN</t>
  </si>
  <si>
    <t>SCHOONER SPECIALTY 18OZ 1 DOZEN</t>
  </si>
  <si>
    <t>GLASS 4.75 OUNCE TROYANO TEQUILA 2 DOZEN</t>
  </si>
  <si>
    <t>PLATE MODERNO DEEP SOUP/SALAD 9 1 DOZEN</t>
  </si>
  <si>
    <t>PLATE SALAD DESSERT MODERNO 7.5 1 DOZEN</t>
  </si>
  <si>
    <t>PILSNER HOURGLASS 11OZ 3 DOZEN</t>
  </si>
  <si>
    <t>PITCHER ONE LITER 6 COUNT</t>
  </si>
  <si>
    <t>GLASS PILSNER FLARE 11 OUNCE 3 DOZEN</t>
  </si>
  <si>
    <t>GLASS PILSNER HOUR GLASS 12 OUNCE 2 DOZEN</t>
  </si>
  <si>
    <t>GLASS PILSNER HOUR GLASS 15 OUNCE 3 DOZEN</t>
  </si>
  <si>
    <t>GLASS PILSNER FLARE 11.5 OUNCE 3 DOZEN</t>
  </si>
  <si>
    <t>GLASS ICED TEA 12OZ HEAT 6 DOZEN</t>
  </si>
  <si>
    <t>GLASS WATER 10 OUNCE NO NIK 4 DOZEN</t>
  </si>
  <si>
    <t>GLASS BEVERAGE 8OZ HEAT TREATED 6 DOZEN</t>
  </si>
  <si>
    <t>GLASS 16 OUNCE PUB CLEAR 3 DOZEN</t>
  </si>
  <si>
    <t>HOLDER CANDLE VOTIVE CRYSTAL 3 DOZEN</t>
  </si>
  <si>
    <t>ENDURA WINE GLASS 15.25 OUNCE 1 DOZEN</t>
  </si>
  <si>
    <t>GLASS 12 OUNCE STEMLESS WINE TASTER 1 DOZEN</t>
  </si>
  <si>
    <t>GLASS VINA STEMLESS WHITE WINE 17OZ 1 DOZEN</t>
  </si>
  <si>
    <t>GLASS BRAVURA COOLER 16.75 OUNCE 1 DOZEN</t>
  </si>
  <si>
    <t>GLASS VINA STEMLESS RED WINE 16.5 1 DOZEN</t>
  </si>
  <si>
    <t>GLASS SPLIT ESQUIRE 7 OUNCE 4 DOZEN</t>
  </si>
  <si>
    <t>GLASS STEMLESS MARTINI 13.5OZ 1 DOZEN</t>
  </si>
  <si>
    <t>GLASS HIGH BALL 9 OUNCE ESQUIRE 3 DOZEN</t>
  </si>
  <si>
    <t>GLASS COLLINS 11OZ ESQUIRE 3 DOZEN</t>
  </si>
  <si>
    <t>GLASS OLD FASHIONED ESQUIRE 7.25 6 DOZEN</t>
  </si>
  <si>
    <t>GLASS 8.5 OUNCE STEMLESS FLUTE 1 DOZEN</t>
  </si>
  <si>
    <t>GLASS WHISKEY 3 OUNCE LEXINGTON 3 DOZEN</t>
  </si>
  <si>
    <t>GLASS HIGH BALL TALL 10OZ 3 DOZEN</t>
  </si>
  <si>
    <t>GLASS HIGH BALL TALL 10.5X10X21 NOB HILL 3 DOZEN</t>
  </si>
  <si>
    <t>GLASS 13 OUNCE VIBE DOUBLE OF 1 DOZEN</t>
  </si>
  <si>
    <t>GLASS HIGH BALL 8 OUNCE LEXINGTON 3 DOZEN</t>
  </si>
  <si>
    <t>GLASS 8 OUNCE NOB HILL HI-BALL 4 DOZEN</t>
  </si>
  <si>
    <t>GLASS HIGH BALL ESQUIRE 8 OUNCE 4 DOZEN</t>
  </si>
  <si>
    <t>GLASS HIGH BALL 7 OUNCE LEXINGTON 3 DOZEN</t>
  </si>
  <si>
    <t>GLASS NOB. HIGH BALL 7 OUNCE 4 DOZEN</t>
  </si>
  <si>
    <t>GLASS HI-BALL LEXINGTON 9 OUNCE 3 DOZEN</t>
  </si>
  <si>
    <t>GLASS NOB HILL HI-BALL 9 OUNCE 4 DOZEN</t>
  </si>
  <si>
    <t>GLASS OLD FASHIONED 7.75OZ LEXINGTON 3 DOZEN</t>
  </si>
  <si>
    <t>GLASS NOB HILL OLD FASHIONED 7.75 OUNCE 4 DOZEN</t>
  </si>
  <si>
    <t>GLASS OLD FASHIONED 10.5OZ 3 DOZEN</t>
  </si>
  <si>
    <t>GLASS 10.25 OUNCE NOB HILL OLD FASHIONED 2 DOZEN</t>
  </si>
  <si>
    <t>GLASS OLD FASHIONED DOUBLE 12.5 OUNCE 3 DOZEN</t>
  </si>
  <si>
    <t>GLASS DOUBLE OLD FASHIONED 12.25 OUNCE 3 DOZEN</t>
  </si>
  <si>
    <t>GLASS JUICE 5 OUNCE LEXINGTON 3 DOZEN</t>
  </si>
  <si>
    <t>GLASS JUICE 5 OUNCE NOB HILL 6 DOZEN</t>
  </si>
  <si>
    <t>GLASS BEVERAGE 11.25 OUNCE LEXINGTON 3 DOZEN</t>
  </si>
  <si>
    <t>GLASS BEVERAGE NOB HILL 11.25 OUNCE 2 DOZEN</t>
  </si>
  <si>
    <t>GLASS COOLER 15.5OZ LEXINGTON 3 DOZEN</t>
  </si>
  <si>
    <t>GLASS PERCEPTION ROCKS 7 OUNCE 2 DOZEN</t>
  </si>
  <si>
    <t>GLASS ROCKS PERCEPTION 9OZ 2 DOZEN</t>
  </si>
  <si>
    <t>GLASS 2.5 OUNCE FLARE SHOOTER 2 DOZEN</t>
  </si>
  <si>
    <t>FLARE PILSNER 1 DOZEN</t>
  </si>
  <si>
    <t>GLASS BEER CHIVALRY GIANT 23OZ 1 DOZEN</t>
  </si>
  <si>
    <t>GLASS JUICE 6OZ CHIVALRY 3 DOZEN</t>
  </si>
  <si>
    <t>GLASS ROCK 10OZ CHIVALRY 3 DOZEN</t>
  </si>
  <si>
    <t>GLASS COOLER CHIVALRY 16 OUNCE 3 DOZEN</t>
  </si>
  <si>
    <t>GLASS BEVERAGE 12OZ CHIVALRY 3 DOZEN</t>
  </si>
  <si>
    <t>GLASS BEVERAGE 10OZ CHIVALRY 3 DOZEN</t>
  </si>
  <si>
    <t>GLASS COLLINS 12 OUNCE ESQUIRE 3 DOZEN</t>
  </si>
  <si>
    <t>GLASS VASE BUD CYLINDER 7.5 2 DOZEN</t>
  </si>
  <si>
    <t>ELITE BUD VASE 12 OUNCE 1 DOZEN</t>
  </si>
  <si>
    <t>GLASS JUICE 6OZ CSCAD HEAT 6 DOZEN</t>
  </si>
  <si>
    <t>GLASS WATER 10OZ CSCAD HEAT 6 DOZEN</t>
  </si>
  <si>
    <t>GLASS BEVERAGE CASCADE 12 OUNCE 2 DOZEN</t>
  </si>
  <si>
    <t>GLASS BEVERAGE 8 OUNCE CASCADE HEAT TREATED 4 DOZEN</t>
  </si>
  <si>
    <t>COOLER CASCADE 16 OUNCE 2 DOZEN</t>
  </si>
  <si>
    <t>GLASS COOLER 22OZ CSCAD HEAT 3 DOZEN</t>
  </si>
  <si>
    <t>GLASS BANQUET GOBLET PERCEPTION 14 OUNCE 2 DOZEN</t>
  </si>
  <si>
    <t>GLASS GOBLET TALL 14 PERCEPTION CLEAR 2 DOZEN</t>
  </si>
  <si>
    <t>GLASS WINE PERCEPTION CLEAR RED 13 1/2 INCHES OUNCE 2 DOZEN</t>
  </si>
  <si>
    <t>GLASS WINE PERCEPTION CLEAR RED 10 OUNCE 2 DOZEN</t>
  </si>
  <si>
    <t>GLASS GOBLET CLEAR 11 OZ. 2 DOZEN</t>
  </si>
  <si>
    <t>GLASS PERCEPTION WINE 20 OUNCE 1 DOZEN</t>
  </si>
  <si>
    <t>GLASS WINE 8OZ CLEAR RED PERCEPTION 2 DOZEN</t>
  </si>
  <si>
    <t>GLASS WINE 8 PERCEPTION CLEAR WHITE 2 DOZEN</t>
  </si>
  <si>
    <t>GLASS CORDIAL PERCEPTION 4 OUNCE 2 DOZEN</t>
  </si>
  <si>
    <t>GLASS FLUTE PERCEPTION 5 3/4 OUNCE 1 DOZEN</t>
  </si>
  <si>
    <t>GLASS 10.5X10X21 OUNCE CHILVARY GOBLET 2 DOZEN</t>
  </si>
  <si>
    <t>GLASS GOBLET CHIVALRY 12 OUNCE 3 DOZEN</t>
  </si>
  <si>
    <t>GLASS BEER CHIVALRY 12OZ 3 DOZEN</t>
  </si>
  <si>
    <t>GLASS WINE 8OZ CHIVALRY 3 DOZEN</t>
  </si>
  <si>
    <t>GLASS BAMBOO COOLER 16 OUNCE 3 DOZEN</t>
  </si>
  <si>
    <t>GLASS ESTATE FOOTED ALL PURPOSE 10.5OZ 3 DOZEN</t>
  </si>
  <si>
    <t>GLASS WINE 8.5OZ ESTATE 3 DOZEN</t>
  </si>
  <si>
    <t>GLAS 21 OUNCE SUPER THISTLE 1 DOZEN</t>
  </si>
  <si>
    <t>BOWL GLASS 38 OUNCE CLEAR 6 COUNT</t>
  </si>
  <si>
    <t>SCHOONER SUPER. 60 OUNCE 6 COUNT</t>
  </si>
  <si>
    <t>GLASS GLOBE SUPER STEM 51 TO 60 OUNCE 6 COUNT</t>
  </si>
  <si>
    <t>GLASS GOBLET 11OZ LEXINGTON 3 DOZEN</t>
  </si>
  <si>
    <t>GLASS SQUALL 15OZ 1 DOZEN</t>
  </si>
  <si>
    <t>GLASS CYCLONE 15 OUNCE CLEAR 1 DOZEN</t>
  </si>
  <si>
    <t>GLASS MRITA CACTS 12OZ 1 DOZEN</t>
  </si>
  <si>
    <t>GLASS MARGHERITA CACTUS JUNIPER STEM 16OZ 1 DOZEN</t>
  </si>
  <si>
    <t>GLASS HURICANE 23.5 OUNCE 1 DOZEN</t>
  </si>
  <si>
    <t>GLASS 3 OUNCE MINI. MARTINI 1 DOZEN</t>
  </si>
  <si>
    <t>GLASS BRANDY SNIFTER EMBASSY 5.5 1 DOZEN</t>
  </si>
  <si>
    <t>GLASS BRANDY SNIFTER 9OZ EMBASSY 2 DOZEN</t>
  </si>
  <si>
    <t>GLASS BRANDY SNIFTER 11.5 OUNCE EMBASSY 2 DOZEN</t>
  </si>
  <si>
    <t>GLASS BRANDY SNIFTER 17.5OZ EMBASSY 2 DOZEN</t>
  </si>
  <si>
    <t>GLASS BRANDY SNIFTER EMBASSY 22 OUNCE 1 DOZEN</t>
  </si>
  <si>
    <t>GLASS 11.5 OUNCE EMBASSY GOBLET 2 DOZEN</t>
  </si>
  <si>
    <t>GLASS 10.5Z EMBASSY BANQUET GOBLET 2 DOZEN</t>
  </si>
  <si>
    <t>GLASS POCO GRANDE II 10.5X10X21 OUNCE 2 DOZEN</t>
  </si>
  <si>
    <t>GLASS ICED TEA TALL 16 EMBASSY 3 DOZEN</t>
  </si>
  <si>
    <t>GLASS 13.25OZ POCO GRANDE II EMBASSY ROYALE 1 DOZEN</t>
  </si>
  <si>
    <t>GLASS POCO GRANDE Z-STEM 13 1/2 INCHES OUNCE 1 DOZEN</t>
  </si>
  <si>
    <t>GLASS GOBLET BANQUET 10.5X10X21 EMBASSY 3 DOZEN</t>
  </si>
  <si>
    <t>GLASS BEER STEM EMBASSY 12 3 DOZEN</t>
  </si>
  <si>
    <t>GLASS BEER 10 OUNCE EMBASSY 2 DOZEN</t>
  </si>
  <si>
    <t>GLASS 12 OUNCE EMBASSY BEER 2 DOZEN</t>
  </si>
  <si>
    <t>GLASS EMBASSY BEER 14 OUNCE 2 DOZEN</t>
  </si>
  <si>
    <t>GLASS MARTINI EMBASSY 7.5 OUNCE 1 DOZEN</t>
  </si>
  <si>
    <t>GLASS MARTINI 7.5OZ 1 DOZEN</t>
  </si>
  <si>
    <t>GLASS EMBASSY FOOTED HI-BALL 8 OUNCE 2 DOZEN</t>
  </si>
  <si>
    <t>GLASS EMBASSY FOOTED HI-BALL 10OZ 2 DOZEN</t>
  </si>
  <si>
    <t>GLASS EMBASSY FOOTED ROCKS 5.5OZ 2 DOZEN</t>
  </si>
  <si>
    <t>GLASS EMBASSY FOOTED ROCKS 7 OUNCE 2 DOZEN</t>
  </si>
  <si>
    <t>GLASS ICED TEA EMBASSY ROYALE 16 OUNCE 3 DOZEN</t>
  </si>
  <si>
    <t>GLASS EMBASSY BANQUET GOBLET 10.5O 2 DOZEN</t>
  </si>
  <si>
    <t>GLASS 10.5X10X21 OUNCE EMBASSY GOBLET 2 DOZEN</t>
  </si>
  <si>
    <t>GLASS WINE 10.5X10X21 OUNCE EMBASSY 3 DOZEN</t>
  </si>
  <si>
    <t>GLASS 8.5 OUNCE EMBASSY WINE 2 DOZEN</t>
  </si>
  <si>
    <t>GLASS EMBASSY WINE 8.5 OUNCE 2 DOZEN</t>
  </si>
  <si>
    <t>GLASS WINE EMBASSY PEAR SHAPE BOWL 6.5 3 DOZEN</t>
  </si>
  <si>
    <t>GLASS EMBASSY WINE 6.5 OUNCE 2 DOZEN</t>
  </si>
  <si>
    <t>GLASS COCKTAIL 4.5OZ EMBASSY 3 DOZEN</t>
  </si>
  <si>
    <t>GLASS COCKTAIL 5 OUNCE EMBASSY 3 DOZEN</t>
  </si>
  <si>
    <t>GLASS Z-STEM MARTINI 5 OUNCE 1 DOZEN</t>
  </si>
  <si>
    <t>GLASS CHAMPAGNE 5.5 OUNCE EMBASSY 3 DOZEN</t>
  </si>
  <si>
    <t>GLASS WHISKEY SOUR 4.5 EMBASSY 3 DOZEN</t>
  </si>
  <si>
    <t>GLASS CHAMPAGNE 4.5 OUNCE EMBASSY 3 DOZEN</t>
  </si>
  <si>
    <t>GLASS MARTINI EMBASSY 9.25 OUNCE 1 DOZEN</t>
  </si>
  <si>
    <t>GLASS MARTINI 9.25 OUNCE 1 DOZEN</t>
  </si>
  <si>
    <t>GLASS CHAMPAGNE 3.5OZ EMBASSY 3 DOZEN</t>
  </si>
  <si>
    <t>GLASS 3 OUNCE SHERRY EMBASSY 1 DOZEN</t>
  </si>
  <si>
    <t>GLASS CORDIAL 1.25 OUNCE EMBASSY 3 DOZEN</t>
  </si>
  <si>
    <t>GLASS BRANDY 2 EMBASSY CLEAR 1 DOZEN</t>
  </si>
  <si>
    <t>GLASS CORDIAL ONE EMBASSY CLEAR 1 DOZEN</t>
  </si>
  <si>
    <t>GLASS 4.5OZ EMBASSY CLEAR FLUTE 1 DOZEN</t>
  </si>
  <si>
    <t>GLASS 6OZ CLEAR EMBASSY FLUTED 1 DOZEN</t>
  </si>
  <si>
    <t>GLAS TALL 6OZ EMBASSY ROYALE FLUTED 1 DOZEN</t>
  </si>
  <si>
    <t>PILSNER EMBASSY 16 OUNCE 2 DOZEN</t>
  </si>
  <si>
    <t>GLASS ALE 10OZ FOOTED 3 DOZEN</t>
  </si>
  <si>
    <t>GLASS ALE 12 OUNCE FOOTED 3 DOZEN</t>
  </si>
  <si>
    <t>GLASS FOOTED ALE 15.25 OUNCE 2 DOZEN</t>
  </si>
  <si>
    <t>GLASS WINE 8.5 OUNCE CRAB-A-TIZER 3 DOZEN</t>
  </si>
  <si>
    <t>GLASS GOBLET 10.5X10X21 OUNCE CRAB-A-TIZER 3 DOZEN</t>
  </si>
  <si>
    <t>GLASS BEER TALL 14OZ CRAB-A-TIZER 2 DOZEN</t>
  </si>
  <si>
    <t>GLASS ROCK SHERBET 7 OUNCE CRAB-A-TIZER 3 DOZEN</t>
  </si>
  <si>
    <t>GLASS DESSERT 10 OUNCE CRAB-A-TIZER 3 DOZEN</t>
  </si>
  <si>
    <t>GLASS CORDIAL 2 OUNCE CATALINA 3 DOZEN</t>
  </si>
  <si>
    <t>GLASS MARGARITA 12 OUNCE CRAB-A-TIZER CLEAR 3 DOZEN</t>
  </si>
  <si>
    <t>GLASS BEER TALL 12 CRAB-A-TIZER 2 DOZEN</t>
  </si>
  <si>
    <t>SONOMA WINE GLASS 8 OUNCE 1 DOZEN</t>
  </si>
  <si>
    <t>GLASS GOBLET 12OZ TEARDROP CLEAR 3 DOZEN</t>
  </si>
  <si>
    <t>GLASS GOBLET TEARDROP 10.5X10X21 OUNCE 3 DOZEN</t>
  </si>
  <si>
    <t>GLAS BEER 14.75 TEARDROP FOOTED 3 DOZEN</t>
  </si>
  <si>
    <t>GLASS WINE TEARDROP ALL PURPOSE 10.75OZ 3 DOZEN</t>
  </si>
  <si>
    <t>GLASS WINE TEARDROP CLEAR RED 8.5 3 DOZEN</t>
  </si>
  <si>
    <t>GLASS TEARDROP WHITE WINE 8.5 OUNCE 2 DOZEN</t>
  </si>
  <si>
    <t>GLASS WINE 6.5 OUNCE TEARDROP WHITE 3 DOZEN</t>
  </si>
  <si>
    <t>GLASS WINE 6 OUNCE TEARDROP FLUTED 1 DOZEN</t>
  </si>
  <si>
    <t>GLASS 8OZ COSMOPOLITAN COCKTAIL 1 DOZEN</t>
  </si>
  <si>
    <t>GLASS 10 OUNCE COSMOPOLITAN HI-BALL 1 DOZEN</t>
  </si>
  <si>
    <t>GLASS COSMOPOLITAN 14 OUNCE 1 DOZEN</t>
  </si>
  <si>
    <t>GLASS BEVERAGE COSMOPOLITAN 14 OUNCE 1 DOZEN</t>
  </si>
  <si>
    <t>PILSNER COSMOPOLITAN 16.5 OUNCE 1 DOZEN</t>
  </si>
  <si>
    <t>GOBLET 11.5 OUNCE PREMIER COBALT 1 DOZEN</t>
  </si>
  <si>
    <t>GLASS ICED TEA TALL 16 OUNCE BLUE COBALT 1 DOZEN</t>
  </si>
  <si>
    <t>STRAIGHT SIDED HI-BALL GLASS 8 OUNCE 6 DOZEN</t>
  </si>
  <si>
    <t>100 WHISKEY 2 OUNCE UNLINED 6 DOZEN</t>
  </si>
  <si>
    <t>GLASS 20 OUNCE PUB 2 DOZEN</t>
  </si>
  <si>
    <t>GLASS TUMBLER 10 OUNCE 1 DOZEN</t>
  </si>
  <si>
    <t>GLASS BEER MUG 22OZ FRNKT CLEAR 1 DOZEN</t>
  </si>
  <si>
    <t>GLASS MUG BLUE RIBBON 15 OUNCE CLEAR 1 DOZEN</t>
  </si>
  <si>
    <t>GLASS BEER MUG 12.5OZ CLEAR 2 DOZEN</t>
  </si>
  <si>
    <t>GLASS BEER MUG PANELED CLEAR 12OZ 1 DOZEN</t>
  </si>
  <si>
    <t>GLASS BEER MUG 14 OUNCE PANELED CLEAR 1 DOZEN</t>
  </si>
  <si>
    <t>GLASS BEER MUG 10OZ PNLD CLEAR 1 DOZEN</t>
  </si>
  <si>
    <t>GLASS BEER MUG 16OZ PNLD CLEAR 1 DOZEN</t>
  </si>
  <si>
    <t>GLASS MUG BEER 1 DOZEN</t>
  </si>
  <si>
    <t>GLASS WHISKEY TALL .75OZ 6 DOZEN</t>
  </si>
  <si>
    <t>GLASS WHISKEY TALL ONE OUNCE 6 DOZEN</t>
  </si>
  <si>
    <t>GLASS SHKR 1.5OZ 2 DOZEN</t>
  </si>
  <si>
    <t>GLASS SALT &amp; PEPPER SHKR 2OZ 6 DOZEN</t>
  </si>
  <si>
    <t>GLASS SERVER BLACK BAND 10 OUNCE 2 DOZEN</t>
  </si>
  <si>
    <t>GLASS BEER MUG 16OZ CLEAR 1 DOZEN</t>
  </si>
  <si>
    <t>GLASS SUNDAE TULIP 4.5 OUNCE 3 DOZEN</t>
  </si>
  <si>
    <t>GLASS 3.5 OZ OUNCE SHERBET 4 DOZEN</t>
  </si>
  <si>
    <t>GLASS 4.5 OUNCE SHERBET 4 DOZEN</t>
  </si>
  <si>
    <t>GLASS SHOT 1.88 OUNCE 2 DOZEN</t>
  </si>
  <si>
    <t>GLASS SODA 12 OUNCE 2 DOZEN</t>
  </si>
  <si>
    <t>GLASS SUN DISH 6.5OZ TULIP 3 DOZEN</t>
  </si>
  <si>
    <t>GLASS SUPER TABLETOP 17OZ 2 DOZEN</t>
  </si>
  <si>
    <t>GLAS SUPREME LINER 5 OUNCE 6 DOZEN</t>
  </si>
  <si>
    <t>GLASS WHISKEY PRESSED 1/1.5 6 CASE 1 DOZEN</t>
  </si>
  <si>
    <t>GLASS WHISKEY LINED ONE OUNCE 6 COUNT 1 DOZEN</t>
  </si>
  <si>
    <t>GLASS WHISKEY 1.25 PRESSED 6 CASE 1 DOZEN</t>
  </si>
  <si>
    <t>GLASS WHISKEY 1.25 7/8OZ 6 CASE 1 DOZEN</t>
  </si>
  <si>
    <t>GLASS WHISKEY 1OZ 6 CASE 1 DOZEN</t>
  </si>
  <si>
    <t>GLASS WHISKEY 5/8OZ 1.0OZ 6 CASE 1 DOZEN</t>
  </si>
  <si>
    <t>GLASS WHISKEY 2OZ PLAIN FLUTED 4 CASE 1 DOZEN</t>
  </si>
  <si>
    <t>GLASS WHSK 1&amp;2OZ FLUTED 4 CASE 1 DOZEN</t>
  </si>
  <si>
    <t>GLASS WHISKEY 7/8 2 OUNCE FLUTED 4 COUNT 1 DOZEN</t>
  </si>
  <si>
    <t>GLAS WHISKEY 1.5OZ FLUTED 4 COUNT 1 DOZEN</t>
  </si>
  <si>
    <t>GLASS WHISKEY 4 COUNT 1 DOZEN</t>
  </si>
  <si>
    <t>GLASS WHISKEY 7/8 LINED 1.5OZ 4 CASE 1 DOZEN</t>
  </si>
  <si>
    <t>GLASS WHISKEY 7/8 OUNCE 6 CASE 1 DOZEN</t>
  </si>
  <si>
    <t>GLASS OF TUMBLER 5.OZ 3 DOZEN</t>
  </si>
  <si>
    <t>GLASS OLD FASHIONED 4 OUNCE 4 DOZEN</t>
  </si>
  <si>
    <t>GLASS WATCH 4OZ CLEAR 6 DOZEN</t>
  </si>
  <si>
    <t>GLASS WHISKEY 1.25 OUNCE FLUTE 4 CASE 1 DOZEN</t>
  </si>
  <si>
    <t>GLASS WHISKEY LINED 1.25 FLUTED 4 COUNT 1 DOZEN</t>
  </si>
  <si>
    <t>GLASS WHISKEY TALL ONE OUNCE 4 COUNT 1 DOZEN</t>
  </si>
  <si>
    <t>ASH TRAY GLASS 3 DOZEN</t>
  </si>
  <si>
    <t>GLASS ASHTRAY 4 NOB. HILLMAN 3 DOZEN</t>
  </si>
  <si>
    <t>GLASS ASHTRAY 4.25 CLEAR ROUND 4 DOZEN</t>
  </si>
  <si>
    <t>GLASS CUP OYSTER COCKTAIL 2.5 12 CASE 1 DOZEN</t>
  </si>
  <si>
    <t>GLASS SHERBET 3.5 OZ OUNCE 6 DOZEN</t>
  </si>
  <si>
    <t>GLASS 4.5OZ SHERBET 6 DOZEN</t>
  </si>
  <si>
    <t>GLASS ASHTRAY 5 INCH ROUND 3 DOZEN</t>
  </si>
  <si>
    <t>GLASS COFFEE MUG 10OZ STACKING 1 DOZEN</t>
  </si>
  <si>
    <t>GLASS BEER MUG 10OZ CLEAR 2 DOZEN</t>
  </si>
  <si>
    <t>GLASS BEER MUG 11OZ CLEAR 2 DOZEN</t>
  </si>
  <si>
    <t>GLASS MUG BEER STEIN 10 1 DOZEN</t>
  </si>
  <si>
    <t>GLASS MUG BEER 12 OUNCE 1 DOZEN</t>
  </si>
  <si>
    <t>GLASS GOBLET 10OZ HOFFMAN HOUSE 1 DOZEN</t>
  </si>
  <si>
    <t>GLASS GOBLET HOFFMAN HOUSE 12 OUNCE 1 DOZEN</t>
  </si>
  <si>
    <t>GLASS MUG COFFEE 13 CLEAR 1 DOZEN</t>
  </si>
  <si>
    <t>GLASS COFFEE MUG BLUE COBALT 13OZ 1 DOZEN</t>
  </si>
  <si>
    <t>GLASS SHAKER 1.25 WITH CHROME TOP 2 DOZEN</t>
  </si>
  <si>
    <t>GLASS SUGAR PACKET HOLDER 3.5CL 2 DOZEN</t>
  </si>
  <si>
    <t>GLASS PITCHER 60OZ CLEAR 6 COUNT</t>
  </si>
  <si>
    <t>GLASS BEER MUG 1LTR SUPER 1 DOZEN</t>
  </si>
  <si>
    <t>GLASS BEER MUG 25OZ SPORT CLEAR 1 DOZEN</t>
  </si>
  <si>
    <t>GLASS BEER MUG 12.5 OUNCE CLEAR 1 DOZEN</t>
  </si>
  <si>
    <t>GLASS IRISH COFFEE MUG8.5OZ CLEAR 2 DOZEN</t>
  </si>
  <si>
    <t>GLASS MUG COFFEE IRISH CATALINA 2 DOZEN</t>
  </si>
  <si>
    <t>GLASS IRISH COFFEE MUG 8.25OZ 2 DOZEN</t>
  </si>
  <si>
    <t>GLASS MUG 8.5 OUNCE CLEAR 2 DOZEN</t>
  </si>
  <si>
    <t>GLAS BEER MUG 12OZ SCANDINAVIAN CLEAR 1 DOZEN</t>
  </si>
  <si>
    <t>GLASS BEER MUG 15OZ SCANDINAVIAN CLEAR 1 DOZEN</t>
  </si>
  <si>
    <t>GLASS COLNS 10OZ STRAIGHT SIDE 6 DOZEN</t>
  </si>
  <si>
    <t>GLASS COLLINS CLEAR LIP FROSTED 10OZ 4 DOZEN</t>
  </si>
  <si>
    <t>GLASS COFFEE MUG IRISH CLEAR 1 DOZEN</t>
  </si>
  <si>
    <t>GLASS BEER MUG 8.5 OUNCE CLEAR 2 DOZEN</t>
  </si>
  <si>
    <t>GLASS BEER MUG 12OZ PNLD CLEAR 2 DOZEN</t>
  </si>
  <si>
    <t>GLASS SODA 11.5 OUNCE 2 DOZEN</t>
  </si>
  <si>
    <t>GLASS SUNDAE DISH TULIP 5.25OZ 2 DOZEN</t>
  </si>
  <si>
    <t>GLASS SUNDAE 6.25 OUNCE FOUNTAINWARE 2 DOZEN</t>
  </si>
  <si>
    <t>DISH FOUNTAIN 9 BANANA SPLIT 2 DOZEN</t>
  </si>
  <si>
    <t>GLASS BEER MUG STEIN DIMPLE CLEAR 2 DOZEN</t>
  </si>
  <si>
    <t>GLASS BEER MUG 22 OUNCE 1 DOZEN</t>
  </si>
  <si>
    <t>GLASS MUG BEER 10OZ CLEAR 1 DOZEN</t>
  </si>
  <si>
    <t>GLASS MUG 12 OUNCE 1 DOZEN</t>
  </si>
  <si>
    <t>GLASS HEAT TREATED SODA CLEAR BELL 21.75OZ 3 DOZEN</t>
  </si>
  <si>
    <t>GLASS SUGAR PACKET HOLDER 4.5 2 DOZEN</t>
  </si>
  <si>
    <t>GLASS 12 OUNCE GOVERNOR CLINTON ICED TEA 4 DOZEN</t>
  </si>
  <si>
    <t>GLASS WATER 9.5OZ GOVENOR CLINTON 6 DOZEN</t>
  </si>
  <si>
    <t>GLASS BEVERAGE GOVERNOR CLINTON HEAT TREATED 4 DOZEN</t>
  </si>
  <si>
    <t>GLASS JUICE 5 OUNCE GOVENOR CLINTON 6 DOZEN</t>
  </si>
  <si>
    <t>GLASS PILSNER FOOTED 10 OUNCE 2 DOZEN</t>
  </si>
  <si>
    <t>GLASS S&amp;PSHK ONE OUNCE 12 DOZEN</t>
  </si>
  <si>
    <t>TOP WINCHESTER BRASS CHROME SHAKER 2 DOZEN</t>
  </si>
  <si>
    <t>GLASS MARTINI CHILLER 5.75 OUNCE 1 DOZEN</t>
  </si>
  <si>
    <t>GLASS DECANTER 3 COCKTAIL 6 DOZEN</t>
  </si>
  <si>
    <t>GLASS DECANTER COCKTAIL 8.5 OUNCE 3 DOZEN</t>
  </si>
  <si>
    <t>GLASS VINA FLUTE 8 OUNCE 1 DOZEN</t>
  </si>
  <si>
    <t>GLASS 12 OUNCE VINA WINE 1 DOZEN</t>
  </si>
  <si>
    <t>GLASS BALLOON 13 1/2 INCHES OUNCE 1 DOZEN</t>
  </si>
  <si>
    <t>GLASS VINA TALL WINE 18.5 OUNCE 1 DOZEN</t>
  </si>
  <si>
    <t>GLASS VINA BALLOON 18.25 OUNCE 1 DOZEN</t>
  </si>
  <si>
    <t>GLASS MIDTOWN MARTINI 12 OUNCE 1 DOZEN</t>
  </si>
  <si>
    <t>GLASS VINA WINE TASTER 12.75OZ 1 DOZEN</t>
  </si>
  <si>
    <t>GLASS VINA BALLOON 16 OUNCE 1 DOZEN</t>
  </si>
  <si>
    <t>GLASS VINA TALL WINE 16 OUNCE 1 DOZEN</t>
  </si>
  <si>
    <t>GLASS 16 OUNCE VINA II TALL WINE 1 DOZEN</t>
  </si>
  <si>
    <t>GLASS MIDTOWN MARGARITA 1 DOZEN</t>
  </si>
  <si>
    <t>GLASS VINA MARTINI 1 DOZEN</t>
  </si>
  <si>
    <t>GOBLET VINA 16 OUNCE 1 DOZEN</t>
  </si>
  <si>
    <t>GLASS 10.25OZ TALL VINA WINE 1 DOZEN</t>
  </si>
  <si>
    <t>GLASS 10 OZ VINA MARTINI 1 DOZEN</t>
  </si>
  <si>
    <t>GLASS CRUET 6 OUNCE WITH STOP 1 DOZEN</t>
  </si>
  <si>
    <t>GLASS 6.25 OUNCE VINA TRUMPET 1 DOZEN</t>
  </si>
  <si>
    <t>GLASS VINA II GRAND WINE 1 DOZEN</t>
  </si>
  <si>
    <t>CANDLE HOLDER VOTIVE CRYSTAL 3 DOZEN</t>
  </si>
  <si>
    <t>GLASS BRAVURA MARTINI CLEAR STEM 6.75 1 DOZEN</t>
  </si>
  <si>
    <t>GLASS BRAVURA BLUE STEM MARTINI 6.75 1 DOZEN</t>
  </si>
  <si>
    <t>DECANTER GLASS WINE .5 LITER 1 DOZEN</t>
  </si>
  <si>
    <t>GLASS WINE ONE LITER DECANTER 1 DOZEN</t>
  </si>
  <si>
    <t>GLASS CRUET SET CADDY 6 COUNT</t>
  </si>
  <si>
    <t>GLASS COFFEE IRISH 6 OUNCE 3 DOZEN</t>
  </si>
  <si>
    <t>GLAS SHERRY 2 OUNCE GEORGIAN 3 DOZEN</t>
  </si>
  <si>
    <t>GLASS BEVERAGE 12.5OZ FIN HEAVY BASE 3 DOZEN</t>
  </si>
  <si>
    <t>GLASS COOLER 15 OUNCE CLEAR 3 DOZEN</t>
  </si>
  <si>
    <t>GLASS BRANDY 6 OUNCE CITATION 1 DOZEN</t>
  </si>
  <si>
    <t>GLASS BRANDY SNIFTER 12 OUNCE CITATION 3 DOZEN</t>
  </si>
  <si>
    <t>GLAS GOBLET 11OZ CITATION BANQUET 3 DOZEN</t>
  </si>
  <si>
    <t>GLASS WINE TALL 12.5 OUNCE 1 DOZEN</t>
  </si>
  <si>
    <t>GLASS WINE 12.5OZ CITAT RED 3 DOZEN</t>
  </si>
  <si>
    <t>GLASS WINE 14 OUNCE GOURMET ROUND 1 DOZEN</t>
  </si>
  <si>
    <t>GLASS VIVE GRANDE 16 OUNCE 1 DOZEN</t>
  </si>
  <si>
    <t>GLASS GOBLET FIESTA GRANDE 16.7 1 DOZEN</t>
  </si>
  <si>
    <t>GLASS 17.5 OUNCE GRANDE 1 DOZEN</t>
  </si>
  <si>
    <t>GLASS VINO GRANDE 19.5 OUNCE 1 DOZEN</t>
  </si>
  <si>
    <t>GLASS FIESTA GRANDE 15.25OZ 1 DOZEN</t>
  </si>
  <si>
    <t>GLASS FIESTA GRANDE 12OZ 1 DOZEN</t>
  </si>
  <si>
    <t>GLASS PILSNER 12OZ CITATION 2 DOZEN</t>
  </si>
  <si>
    <t>GLASS MAGNA GRANDE 27.2 1 DOZEN</t>
  </si>
  <si>
    <t>GLASS COUPETTE MARGARITA GOURMET 7 OUNCE 1 DOZEN</t>
  </si>
  <si>
    <t>GLASS COUPETTE MRITA 9OZ GOURMET 1 DOZEN</t>
  </si>
  <si>
    <t>GLAS ICED TEA 16 OUNCE CITATION 1 DOZEN</t>
  </si>
  <si>
    <t>GLASS COCKTAIL 4.5OZ CITATION 3 DOZEN</t>
  </si>
  <si>
    <t>GLASS COCKTAIL 6 OUNCE CITATION 3 DOZEN</t>
  </si>
  <si>
    <t>GLASS CITATION GOBLET 10 OUNCE 2 DOZEN</t>
  </si>
  <si>
    <t>GLASS 8 OUNCE CITATION BEER &amp; WINE 2 DOZEN</t>
  </si>
  <si>
    <t>GLASS WINE TALL 6.5OZ CITATION 3 DOZEN</t>
  </si>
  <si>
    <t>GLASS CITATION WHITE WINE 11 OUNCE 2 DOZEN</t>
  </si>
  <si>
    <t>GLASS CHAMPAGNE 9 OUNCE TULIP 1 DOZEN</t>
  </si>
  <si>
    <t>GLASS CHAMPAGNE 6OZ GOURMET TULIP 1 DOZEN</t>
  </si>
  <si>
    <t>GLASS SALUD 10 OUNCE GRANDE 1 DOZEN</t>
  </si>
  <si>
    <t>GLASS SALUD GRANDE MARTINI 8.5 OZ 1 DOZEN</t>
  </si>
  <si>
    <t>GLASS FLUTE 6.25OZ CITATION 1 DOZEN</t>
  </si>
  <si>
    <t>GLASS BRISTOL VALLEY WATER GOBLET 16 OUNCE 2 DOZEN</t>
  </si>
  <si>
    <t>GLASS WINE BRISTOL VALLEY ROUND SHEER RIM 2 DOZEN</t>
  </si>
  <si>
    <t>GLASS COCKTAIL 7.5 BRISTOL VALLEY SHEER RIM 2 DOZEN</t>
  </si>
  <si>
    <t>GLASS GOBLET BRISTOL VALLEY CLEAR 12OZ 2 DOZEN</t>
  </si>
  <si>
    <t>GLASS WINE BRISTOL VALLEY 8.5 CLEAR WHITE 2 DOZEN</t>
  </si>
  <si>
    <t>GLASS WINE BRISTOL VALLEY 8.5 CLEAR 2 DOZEN</t>
  </si>
  <si>
    <t>GLASS WINE CHALICE BRISTOL VALLEY CLEAR SHEER 2 DOZEN</t>
  </si>
  <si>
    <t>GLASS WINE BRISTOL VALLEY 13 CLEAR WHITE 2 DOZEN</t>
  </si>
  <si>
    <t>GLASS SHERRY 3.75 BRISTOL VALLEY CLEAR 2 DOZEN</t>
  </si>
  <si>
    <t>GLASS BRISTOL VALLEY CLEAR FOOTED 7.75 2 DOZEN</t>
  </si>
  <si>
    <t>GLASS GOBLET 10.5X10X21 OUNCE NAPA COUNTRY 3 DOZEN</t>
  </si>
  <si>
    <t>GLASS WINE 8 OUNCE NAPA COUNTRY WHITE 3 DOZEN</t>
  </si>
  <si>
    <t>GLASS NAPA COUNTRY CLEAR 6 OUNCE 1 DOZEN</t>
  </si>
  <si>
    <t>GLASS COCKTAIL 6OZ 3 DOZEN</t>
  </si>
  <si>
    <t>GLASS MARTINI MEGA 6.75 OUNCE 1 DOZEN</t>
  </si>
  <si>
    <t>GLASS MARTINI DOMAINE 8 CLEAR 1 DOZEN</t>
  </si>
  <si>
    <t>GLAS 6OZ DOMAINE FLUTED 1 DOZEN</t>
  </si>
  <si>
    <t>GLASS 14.25 OUNCE ALLURE WINE 1 DOZEN</t>
  </si>
  <si>
    <t>GLASS 18.75OZ ALLURE WINE/WATER 1 DOZEN</t>
  </si>
  <si>
    <t>GLAS ROCK 8.25 OUNCE 3 DOZEN</t>
  </si>
  <si>
    <t>GLASS BEVERAGE 11OZ PRESIDENTIAL 3 DOZEN</t>
  </si>
  <si>
    <t>GLASS BEVERAGE FIN 11 OUNCE 3 DOZEN</t>
  </si>
  <si>
    <t>GLASS BARREL W/LID 10LTR 2 COUNT</t>
  </si>
  <si>
    <t>GLASS BARREL STORAGE WITH LID ROUND 1 COUNT</t>
  </si>
  <si>
    <t>GLASS MARTINI 48OZ GRANDE 6 COUNT</t>
  </si>
  <si>
    <t>GLASS ZOMBI 12OZ STRAIGHT SIDE 6 DOZEN</t>
  </si>
  <si>
    <t>GLASS ZOMBI 12 OUNCE 4 DOZEN</t>
  </si>
  <si>
    <t>GLASS DECANTER WINE .5LTR 1 DOZEN</t>
  </si>
  <si>
    <t>GLASS MUG BOOT 16 OUNCE 1 DOZEN</t>
  </si>
  <si>
    <t>GLASS SHOT 1.5 OUNCE BOOT 3 DOZEN</t>
  </si>
  <si>
    <t>GLASS SALT &amp; PEPPER SHAKER 2OZ SQUARE 6 DOZEN</t>
  </si>
  <si>
    <t>GLASS DRINKING JAR 16 OUNCE 1 DOZEN</t>
  </si>
  <si>
    <t>GLAS WESTIN COUNTY FAIR SPECIAL PRINT DRINKING JAR 1 DOZEN</t>
  </si>
  <si>
    <t>GLASS CRISA BEVERAGE IMPRESSIONS 1 DOZEN</t>
  </si>
  <si>
    <t>SHOOTER TEQUILA 1.5OZ CLEAR 6 DOZEN</t>
  </si>
  <si>
    <t>GLASS MICHELANGELO ALL PURPOSE BURGUNDY 13.5OZ 1 DOZEN</t>
  </si>
  <si>
    <t>GLASS MARTINI MICHELANGELO 7.25OZ 2 DOZEN</t>
  </si>
  <si>
    <t>GLASS PILSNER 15 OUNCE VANGOGH 2 DOZEN</t>
  </si>
  <si>
    <t>GLASS BEVERAGE 14.5OZ MICHELANGELO 2 DOZEN</t>
  </si>
  <si>
    <t>GLASS MICHELANGELO DOUBLE OLD FASHIONED 11.75. 2 DOZEN</t>
  </si>
  <si>
    <t>GLASS ROCKS JUICE 9OZ MICHELANGELO 2 DOZEN</t>
  </si>
  <si>
    <t>M&amp;Q PACKAGING  CORP.-PANSAVER</t>
  </si>
  <si>
    <t>PANSAVER PAN HOTELS SHALLOW MEDIUM 100 EACH</t>
  </si>
  <si>
    <t>PANSAVER HOTELS DEEP 20.8X12.8 50 EACH</t>
  </si>
  <si>
    <t>PANSAVER PAN THIRD &amp; QUARTER MEDIUM 100 EACH</t>
  </si>
  <si>
    <t>PANSAVER PAN 9 &amp; 11 QUART ROUND 100 COUNT</t>
  </si>
  <si>
    <t>PANSAVER PAN BUN SHEET 100 EACH</t>
  </si>
  <si>
    <t>PANSAVER PAN 6 &amp; 7 QUART ROUND 100 EACH</t>
  </si>
  <si>
    <t>LINER ELECTRIC ROASTER MASTER CASE 18 CASE 2 COUNT</t>
  </si>
  <si>
    <t>PANSAVER PAN SIXTH 6.9X6.4 100 EACH</t>
  </si>
  <si>
    <t>PANSAVER PAN HALF MEDIUM &amp; DEEP 100 EACH</t>
  </si>
  <si>
    <t>PANSAVER PAN HALF SHALLOW 2.5 100 EACH</t>
  </si>
  <si>
    <t>LINER SLOW COOKER MASTER CASE 18 COUNT</t>
  </si>
  <si>
    <t>PAN THIRD SIZE MEDIUM &amp; DEEP SCRUB SAVER 250 EACH</t>
  </si>
  <si>
    <t>PAN SIXTH SIZE SCRUB SAVER 250 EACH</t>
  </si>
  <si>
    <t>BAG BUN SHEET 27X37 200 EACH</t>
  </si>
  <si>
    <t>BAGS OVEN TURKEY 18 CASE 2 COUNT</t>
  </si>
  <si>
    <t>LINERS SURE FIT SLOW COOKER 12 CASE 4 COUNT</t>
  </si>
  <si>
    <t>ECO KITCHEN MARKER WITH 100 REFILLS 10 CASE 5 COUNT</t>
  </si>
  <si>
    <t>PANSAVER ECO THIRD PAN LINER 6 19X14 100 EACH</t>
  </si>
  <si>
    <t>PANSAVER ECO LINER 4 QUART ROUND 100 EACH</t>
  </si>
  <si>
    <t>PANSAVER ECO LINER 9&amp;11 QUART ROUND 100 EACH</t>
  </si>
  <si>
    <t>PANSAVER ECO BUN SHEET PAN LINER 100 EACH</t>
  </si>
  <si>
    <t>PANSAVER ECO HALF PAN LINER 4&amp;6 100 EACH</t>
  </si>
  <si>
    <t>PANSAVER ECO FULL PAN LINER 2.5 100 EACH</t>
  </si>
  <si>
    <t>PANSAVER ECO FULL PAN LINER 4 100 EACH</t>
  </si>
  <si>
    <t>PANSAVER ECO FULL PAN LINER 6 50 EACH</t>
  </si>
  <si>
    <t>PANSAVER ECO SIXTH PAN 6 DEEP 100 COUNT</t>
  </si>
  <si>
    <t>PIPINQ PIPING BAGS COMFORT LINE GREEN 100 EACH</t>
  </si>
  <si>
    <t>PIPINQ PIPING BAGS RED HOT 21 INCH 74 EACH</t>
  </si>
  <si>
    <t>PIPINQ PIPING BAGS CLEAR BLUE 100 EACH</t>
  </si>
  <si>
    <t>MR. BAR-B-Q INC.</t>
  </si>
  <si>
    <t>MOP BARBECUE CHEFMASTER 12 COUNT</t>
  </si>
  <si>
    <t>NATURAL LAVA ROCK BAGGED 7 POUND</t>
  </si>
  <si>
    <t>SKILLET FAJITA 14.5X7.5X1.5 4 COUNT</t>
  </si>
  <si>
    <t>LIGHTER HAND HELD REFILLABLE BUTANE 2 DOZEN</t>
  </si>
  <si>
    <t>1     2    DZ</t>
  </si>
  <si>
    <t>FUEL BUTANE CANISTER 8OZ 1 DOZEN</t>
  </si>
  <si>
    <t>STOVE CHEF MASTER HIGH PERFORMANCE BUTANE 1 COUNT</t>
  </si>
  <si>
    <t>SALAD SPINNER FIVE GALLON 1 COUNT</t>
  </si>
  <si>
    <t>BUTANE STOVE PORTABLE 1 EACH</t>
  </si>
  <si>
    <t>SALAD SPINNER 2.5 GALLON 1 COUNT</t>
  </si>
  <si>
    <t>TORCH BUTANE 1 EACH</t>
  </si>
  <si>
    <t>BOARD WRITE ON BLK/WHITE REVERSIBLE 18X24 1 COUNT</t>
  </si>
  <si>
    <t>BOARD WRITE ON BLK/WHITE REVERSIBLE 24X36 1 COUNT</t>
  </si>
  <si>
    <t>MARKER RAIN PROOF 5 BLUE/PINK/WHITE/GREEN/YELLOW 1 SET</t>
  </si>
  <si>
    <t>SIGN 15 MESSAGE W/STAND 1 COUNT</t>
  </si>
  <si>
    <t>BRUSH PIZZA OVEN 1 EACH</t>
  </si>
  <si>
    <t>BRUSH BROILER 1 EACH</t>
  </si>
  <si>
    <t>BRUSH HEAVY DUTY GRILL 1 EACH</t>
  </si>
  <si>
    <t>N20 CHARGERS 36 CASE 10 COUNT</t>
  </si>
  <si>
    <t>N20 CHARGERS 25 CASE 24 COUNT</t>
  </si>
  <si>
    <t>DISPENSER WHIPPED CREAM .05L 1 EACH</t>
  </si>
  <si>
    <t>DISPENSER WHIPPED CREAM 1.0L 1 EACH</t>
  </si>
  <si>
    <t>DISPENSER WHIPPED CREAM ONE PINT 1 EACH</t>
  </si>
  <si>
    <t>DISPENSER WHIPPED CREAM 2 PINT 1 EACH</t>
  </si>
  <si>
    <t>MUNDIAL INC.</t>
  </si>
  <si>
    <t>STEEL ROUND 12 INCH ROUND POLY BLACK 1 EACH</t>
  </si>
  <si>
    <t>STEEL DIAMOND 12 INCH BLACK HANDLE 1 EACH</t>
  </si>
  <si>
    <t>TURNER 6X5 HAMBURGER WOOD HANDLE 1 EACH</t>
  </si>
  <si>
    <t>TURNER 8X4 STEAK WOOD HANDLE 1 EACH</t>
  </si>
  <si>
    <t>KNIFE SANTOKU WITH GRANTON EDGE FOR 1 EACH</t>
  </si>
  <si>
    <t>KNIFE CHEF 8 INCH FOR 1 EACH</t>
  </si>
  <si>
    <t>KNIFE UTILITY 6 FOR 1 EACH</t>
  </si>
  <si>
    <t>KNIFE FILLET 7 FLEX FOR 1 EACH</t>
  </si>
  <si>
    <t>KNIFE BREAD 8 INCH SERRATED EDGE FOR 1 EACH</t>
  </si>
  <si>
    <t>FORK COOKS CURVED FOR 1 EACH</t>
  </si>
  <si>
    <t>KNIFE BAR MAGNETIC 18 1 EACH</t>
  </si>
  <si>
    <t>KNIFE CHEF 10 INCH FOR 1 EACH</t>
  </si>
  <si>
    <t>CUTLERY CASE CHEF'S HARD SIDED 1 COUNT</t>
  </si>
  <si>
    <t>KNIFE PARING 4 SPEAR POINT WHITE 1 EACH</t>
  </si>
  <si>
    <t>KNIFE PARING 4 WITH WAVY EDGE WHITE 1 EACH</t>
  </si>
  <si>
    <t>KNIFE PARING 3 1/4 CHEF STYLE 1 EACH</t>
  </si>
  <si>
    <t>KNIFE SANTOKO 7 GRANTON EDGE WHITE HANDLE 1 EACH</t>
  </si>
  <si>
    <t>KNIFE BONING CURVED 6 SEMI STIFF WHITE 1 EACH</t>
  </si>
  <si>
    <t>KNIFE COOKS WIDE 10 INCH WHITE HANDLE 1 EACH</t>
  </si>
  <si>
    <t>KNIFE WIDE SANDWICH 10 INCH SERRATED WHITE 1 EACH</t>
  </si>
  <si>
    <t>KNIFE COOKS WIDE 12 INCH WHITE HANDLE 1 EACH</t>
  </si>
  <si>
    <t>KNIFE COOKS WIDE 8 INCH WHITE HANDLE 1 EACH</t>
  </si>
  <si>
    <t>KNIFE WIDE SANDWICH 8 INCH SERRATED EDGE 1 EACH</t>
  </si>
  <si>
    <t>KNIFE FILLET NARROW FLEX 8 INCH WHITE 1 EACH</t>
  </si>
  <si>
    <t>KNIFE BONING 6 NARROW STIFF WHITE 1 EACH</t>
  </si>
  <si>
    <t>KNIFE FILLET NARROW STIFF 8 INCH WHITE 1 EACH</t>
  </si>
  <si>
    <t>KNIFE BONING 6 STIFF EXTRA WIDE WHITE 1 EACH</t>
  </si>
  <si>
    <t>KNIFE CIMETER 10 INCH WHITE HANDLE 1 EACH</t>
  </si>
  <si>
    <t>KNIFE OFFSET 7 SANDWICH WHITE HANDLE 1 EACH</t>
  </si>
  <si>
    <t>KNIFE OFFSET 9 SERRATED WHITE HANDLE 1 EACH</t>
  </si>
  <si>
    <t>KNIFE BREAD 10 INCH WITH MICRO 1 EACH</t>
  </si>
  <si>
    <t>KNIFE UTILITY 6 SERRATED EDGE WHITE 1 EACH</t>
  </si>
  <si>
    <t>KNIFE BUTCHER 10 INCH WHITE HANDLE 1 EACH</t>
  </si>
  <si>
    <t>KNIFE SLICER 7.5 BLADE SERRATED 1 EACH</t>
  </si>
  <si>
    <t>KNIFE SLICER 10 INCH WITH WAVY EDGE WHITE 1 EACH</t>
  </si>
  <si>
    <t>KNIFE SLICER 12 INCH WITH WAVY EDGE WHITE 1 EACH</t>
  </si>
  <si>
    <t>KNIFE SLICER WITH GRANTON EDGE 12 INCH WHITE 1 EACH</t>
  </si>
  <si>
    <t>SPATULA BAKERS 6 ICING WHITE HANDLE 1 EACH</t>
  </si>
  <si>
    <t>FORK POT 12 INCH WHITE HANDLE 1 EACH</t>
  </si>
  <si>
    <t>CLEAVER 6 1/2 WHITE HANDLE 1 EACH</t>
  </si>
  <si>
    <t>TURNER 8X3 PERFORATED WHITE HANDLE 1 EACH</t>
  </si>
  <si>
    <t>TURNER 8X3 WHITE HANDLE 1 EACH</t>
  </si>
  <si>
    <t>TURNER 6X3 SQUARE END WHITE HANDLE 1 EACH</t>
  </si>
  <si>
    <t>TURNER 4X3 WHITE HANDLE 1 EACH</t>
  </si>
  <si>
    <t>TURNER 5X4 WHITE HANDLE 1 EACH</t>
  </si>
  <si>
    <t>SPREADER 3 1/2 STRAIGHT EDGE WHITE HANDLE 1 EACH</t>
  </si>
  <si>
    <t>SPREADER 3 1/2 WITH WAVY EDGE WHITE 1 EACH</t>
  </si>
  <si>
    <t>TURNER MINI 2 1/2X2 1/2 WHITE 1 EACH</t>
  </si>
  <si>
    <t>PIZZA CUTTER 4 WHITE HANDLE 1 EACH</t>
  </si>
  <si>
    <t>GRIDDLE SCRAPPER 3 INCH WHITE HANDLE 1 EACH</t>
  </si>
  <si>
    <t>GRIDDLE SCRAPPER 4 WHITE HANDLE 1 EACH</t>
  </si>
  <si>
    <t>PIE SERVER 2 1/4X4 1/2 WHITE HANDLE 1 EACH</t>
  </si>
  <si>
    <t>SERVER CAKE &amp; PIE 3X5 WHITE 1 EACH</t>
  </si>
  <si>
    <t>CUTTER DOUGH 6 EXTRA 3 INCH WHITE HANDLE 1 EACH</t>
  </si>
  <si>
    <t>SHEARS KITCHEN WHITE HANDLE 1 EACH</t>
  </si>
  <si>
    <t>NATIONAL CHECKING CO.</t>
  </si>
  <si>
    <t>WAITRPAD 2 PART CARBON SHRINK 100 COUNT 50 COUNT</t>
  </si>
  <si>
    <t>GUEST CHECK CARBON 2 PART GREEN 16 LINE 50 CASE 50 COUNT</t>
  </si>
  <si>
    <t>GUEST CHECK CARBON 2 PART SALMON 16 LINE 50 CASE 50 COUNT</t>
  </si>
  <si>
    <t>GUEST CHECK NO CARBON 2 PART GREEN 19 LINE 50 CASE 50 COUNT</t>
  </si>
  <si>
    <t>DELIVERY FORM NO CARBON 3 PART WHITE 14L 50 CASE 50 COUNT</t>
  </si>
  <si>
    <t>DELIVERY FORM 3 PART CARBONLESS DELIVERY WHITE 50 CASE 50 COUNT</t>
  </si>
  <si>
    <t>CHECK GUEST 1 PART WHITE 100 CASE 100 COUNT</t>
  </si>
  <si>
    <t>REGISTER ROLL 2.25 WHITE 1 PLY 4 CASE 10 ROLL</t>
  </si>
  <si>
    <t>TAPE REGISTER ROLL 2.25 WHITE IPL 4 CASE 10 COUNT</t>
  </si>
  <si>
    <t>REGISTER ROLL 2.75 WHITE 1 PLY 50 COUNT</t>
  </si>
  <si>
    <t>SALESBOOK CARBON 2 PART WHITE 11 LINE 100 CASE 50 COUNT</t>
  </si>
  <si>
    <t>SALESBOOK CARBON 2 PART WHITE 11 LINE 10 CASE 10 COUNT</t>
  </si>
  <si>
    <t>REGISTER ROLL 3 INCH WHITE 1 PLY 165' 50 ROLL</t>
  </si>
  <si>
    <t>REGISTER ROLL 3 INCH CANARY YELLOW 1 PLY 165' 50 ROLL</t>
  </si>
  <si>
    <t>TAPE REGISTER ROLL 3 INCH WHITE 1 PLY 3 CASE 10 COUNT</t>
  </si>
  <si>
    <t>TAPE REGISTER 38MM WHITE 1 PLY ROLL 5 CASE 10 COUNT</t>
  </si>
  <si>
    <t>REGISTER ROLL 44MM WHITE BOND 1 PLY 5 CASE 10 ROLL</t>
  </si>
  <si>
    <t>TAPE REGISTER ROLL 44MM WHITE 1 PLY 5 CASE 10 COUNT</t>
  </si>
  <si>
    <t>SALESBOOK NO CARBON 2 PART WHITE 12L 10 CASE 10 COUNT</t>
  </si>
  <si>
    <t>GUEST CHECK 1 PART GREEN 13 LINE 100 CASE 100 COUNT</t>
  </si>
  <si>
    <t>TAPE REGISTER 2.25 OZ 2 PLY WHITE CANARY ROLL 4 CASE 10 COUNT</t>
  </si>
  <si>
    <t>REGISTER ROLL 3X90' CARBONLESS 50 ROLL</t>
  </si>
  <si>
    <t>TAPE REGISTER ROLL 3 INCH 2 PLY WHITE CANARY 3 CASE 10 COUNT</t>
  </si>
  <si>
    <t>GUEST CHECK 1 PART GREEN 17 LINE 50 CASE 100 COUNT</t>
  </si>
  <si>
    <t>CARTRIDGE RIBBON RED &amp; BLACK ERC38 6 COUNT</t>
  </si>
  <si>
    <t>GUEST CHECK CARBON 2 PART ROSE 19 LINE 5 CASE 10 BOOK</t>
  </si>
  <si>
    <t>GUEST CHECK NO CARBON 3 PART MAROON 11 LINE 8 CASE 250 COUNT</t>
  </si>
  <si>
    <t>GUEST CHECK CARBONLESS 3 PART MAROON 8 CASE 250 COUNT</t>
  </si>
  <si>
    <t>WAITRPAD 3.5X5.125 BULK PACK 100 COUNT 100 COUNT</t>
  </si>
  <si>
    <t>WAITRPAD 13 LINE WHITE SHRINK WRAP 100 CASE 100 COUNT</t>
  </si>
  <si>
    <t>CHECK WAITRPAD 1 PART PAPER 50 CASE 100 COUNT</t>
  </si>
  <si>
    <t>WAITRPAD NO CARBON 3 PART WHITE 11 LINE 50 CASE 50 COUNT</t>
  </si>
  <si>
    <t>THERMAL ROLL REGISTER WHITE 3.13X230' 50 COUNT</t>
  </si>
  <si>
    <t>GUEST CHECK WAITRPAD ONE PART PAPER 50 CASE 100 COUNT</t>
  </si>
  <si>
    <t>GUEST CHECK 1 PART PAPER 8. LINE 100 CASE 50 COUNT</t>
  </si>
  <si>
    <t>GUEST CHECK 1 PART GREEN 19 LINE 50 CASE 50 COUNT</t>
  </si>
  <si>
    <t>GUEST CHECK 1 PART GREEN 18 LINE 50 CASE 50 COUNT</t>
  </si>
  <si>
    <t>GUEST 1 PART 18 LINE PINK 50 CASE 50 COUNT</t>
  </si>
  <si>
    <t>GUEST CHECK BOARD 1 PART GREEN 14 LINE 50 CASE 50 COUNT</t>
  </si>
  <si>
    <t>GUEST CHECK BOARD 1 PART GREEN 11 LINE 50 CASE 50 COUNT</t>
  </si>
  <si>
    <t>REGISTER ROLL 2.25 1 PLY WHITE 50 ROLL</t>
  </si>
  <si>
    <t>TAPE REGISTER ROLL 2.25 WHITE 1 PLY 2 CASE 24 COUNT</t>
  </si>
  <si>
    <t>TAPE PAPER RGSRL 2.251PL200' 4 CASE 10 ROLL</t>
  </si>
  <si>
    <t>REGISTER ROLL 3.13 230' ROLL 50 COUNT</t>
  </si>
  <si>
    <t>TAPE PAPER 3.13 1 PLY CASH REGISTER 3 CASE 10 ROLL</t>
  </si>
  <si>
    <t>REGISTER THERMAL ROLL 44MM 1 PLY 1.75 5 CASE 10 ROLL</t>
  </si>
  <si>
    <t>GUEST CHECK CARBON 2 PART GREEN 15LINE 50 CASE 50 COUNT</t>
  </si>
  <si>
    <t>GUEST CHECK CARBON 2 PART GREEN 15 LINE 10 CASE 250 COUNT</t>
  </si>
  <si>
    <t>GUEST CHECK NO CARBON 2 PART GREEN 11 LINE 8 CASE 250 COUNT</t>
  </si>
  <si>
    <t>GUEST CHECK CARBONLESS 2 PART PURPLE 10 CASE 250 COUNT</t>
  </si>
  <si>
    <t>GUEST CHECK NO CARBON 2 PART MAROON 8 CASE 250 COUNT</t>
  </si>
  <si>
    <t>GUEST CHECK CARBON 2 PART GREEN 17 LINE 50 CASE 50 COUNT</t>
  </si>
  <si>
    <t>GUEST CHECK NO CARBON 2 PART 17 LOAF GREEN 50 CASE 50 COUNT</t>
  </si>
  <si>
    <t>LABEL PERMANENT .75 BROWN 2000 COUNT</t>
  </si>
  <si>
    <t>42+</t>
  </si>
  <si>
    <t>1 2 000    CNT</t>
  </si>
  <si>
    <t>LABEL PERMANENT .75 PINK 2000 COUNT</t>
  </si>
  <si>
    <t>LABEL .75 PERMANENT WHITE 2000 COUNT</t>
  </si>
  <si>
    <t>LABEL .75 PERMANENT PEACH 2000 COUNT</t>
  </si>
  <si>
    <t>LABEL .75 PERMANENT PURPLE 2000 COUNT</t>
  </si>
  <si>
    <t>1X1 TRILINGUAL DISSOLVABLE LABELS MONDAY BLUE 1000 COUNT</t>
  </si>
  <si>
    <t>1 1 000    CNT</t>
  </si>
  <si>
    <t>1X1 TRILINGUAL DISSOLVABLE LABELS TUESDAY YELLOW 1000 COUNT</t>
  </si>
  <si>
    <t>1X1 TRILINGUAL DISSOLVABLE LABELS WEDNESDAY RED 1000 COUNT</t>
  </si>
  <si>
    <t>1X1 TRILINGUAL DISSOLVABLE LABELS THURSDAY BROWN 1000 COUNT</t>
  </si>
  <si>
    <t>1X1 TRILINGUAL DISSOLVABLE LABELS FRIDAY GREEN 1000 COUNT</t>
  </si>
  <si>
    <t>1X1 TRILINGUAL DISSOLVABLE LABELS SATURDAY ORANGE 1000 COUNT</t>
  </si>
  <si>
    <t>1X1 TRILINGUAL DISSOLVABLE LABELS SUNDAY BLACK 1000 COUNT</t>
  </si>
  <si>
    <t>LABELOCKER DISPENSER 1 DAY OF WEEK DISSOLVABLE 1 COUNT</t>
  </si>
  <si>
    <t>PLEXIGLAS DISPENSER 1&amp;.75 ROLL 7 DAY 1 COUNT</t>
  </si>
  <si>
    <t>1X2 PRODUCT DISSOLVABLE LABELS 500 COUNT</t>
  </si>
  <si>
    <t>1   500    CNT</t>
  </si>
  <si>
    <t>2X3 SHELF LIFE DISSOLVABLE LABELS 250 COUNT</t>
  </si>
  <si>
    <t>1   250    CNT</t>
  </si>
  <si>
    <t>2X3 SHELF LIFE DISSOLVABLE BOX 250 COUNT</t>
  </si>
  <si>
    <t>GUEST CHECK 1 PART 16 LINE GREEN 50 CASE 100 COUNT</t>
  </si>
  <si>
    <t>GUEST CHECK 1 PART GREEN 16 LINE 50 CASE 100 COUNT</t>
  </si>
  <si>
    <t>GUEST CHECK 16 LINE 1 PART GREEN SHRINK WRAP 50 CASE 100 COUNT</t>
  </si>
  <si>
    <t>GUEST CHECK CHECK BOARD 1 PART GREEN 50 CASE 50 COUNT</t>
  </si>
  <si>
    <t>GUEST CHECK 1 PART 3.5X6.75 50 COUNT 50 COUNT</t>
  </si>
  <si>
    <t>GUEST CHECK 1 PART GREEN 16 LINE SHRINK WRAP 50 CASE 50 COUNT</t>
  </si>
  <si>
    <t>GUEST CHECK 1 PART 4.25X7.25 50 COUNT 50 COUNT</t>
  </si>
  <si>
    <t>GUEST CHECK 2 PART CARBONLESS GREEN 13 LINE 2000 COUNT</t>
  </si>
  <si>
    <t>GUEST CHECK 3 PART CARBONLESS BOOK GREEN 50 COUNT 40 COUNT</t>
  </si>
  <si>
    <t>GSTRCK 2 CARBONLESS 40 COUNT 50 COUNT</t>
  </si>
  <si>
    <t>GUEST CHECK 2 PART CARBONLESS LOOSE 8 CASE 250 COUNT</t>
  </si>
  <si>
    <t>GUEST CHECK 2 PART CARBON GREEN 2500 COUNT</t>
  </si>
  <si>
    <t>GUEST CHECK 2 PART CARBON GREEN 50 COUNT 50 COUNT</t>
  </si>
  <si>
    <t>GUEST CHECK 2 PART GREEN 16 LINE 5 CASE 10 BOOK</t>
  </si>
  <si>
    <t>GUEST CHECK BOARD 1 PART GREEN 13 LINE 20 COUNT</t>
  </si>
  <si>
    <t>GUEST CHECK 2 PART CARBON GREEN 50 CASE 50 COUNT</t>
  </si>
  <si>
    <t>GUEST CHECK 2 PART GREEN 17 LINE 50 CASE 50 COUNT</t>
  </si>
  <si>
    <t>GUEST CHECK 2 PART CARBONLESS GREEN 17 LINE 50 CASE 50 COUNT</t>
  </si>
  <si>
    <t>GUEST CHECK 2 PART CARBONLESS 17 LINER 50 COUNT</t>
  </si>
  <si>
    <t>GUEST CHECK CARBON 2 PART GOLD 16 LINE 10 CASE 10 BOOK</t>
  </si>
  <si>
    <t>KITCHEN CHECK 1 PART CARBON WHITE 50 CASE 100 COUNT</t>
  </si>
  <si>
    <t>CHECK KITCHEN CARBON UNLINED WHITE 100 CASE 50 COUNT</t>
  </si>
  <si>
    <t>LABELOCKER DISPENSER 1 ROLLS 7 DAY 1 COUNT</t>
  </si>
  <si>
    <t>LABELOCKER DISPENSER PLASTIC LABEL 2 1 COUNT</t>
  </si>
  <si>
    <t>1X1 TRILINGUAL PERMANENT LABELS MONDAY BLUE 1000 COUNT</t>
  </si>
  <si>
    <t>1X1 TRILINGUAL PERMANENT LABELS TUESDAY YELLOW 1000 COUNT</t>
  </si>
  <si>
    <t>1X1 TRILINGUAL PERMANENT LABELS WEDNESDAY RED 1000 COUNT</t>
  </si>
  <si>
    <t>1X1 TRILINGUAL PERMANENT LABELS THURSDAY BROWN 1000 COUNT</t>
  </si>
  <si>
    <t>1X1 TRILINGUAL PERMANENT LABELS FRIDAY GREEN 1000 COUNT</t>
  </si>
  <si>
    <t>1X1 TRILINGUAL PERMANENT LABELS SATURDAY ORANGE 1000 COUNT</t>
  </si>
  <si>
    <t>1X1 TRILINGUAL PERMANENT LABELS SUNDAY BLACK 1000 COUNT</t>
  </si>
  <si>
    <t>LABELOCKER DISPENSER 1 DAY OF WEEK PERMANENT 1 COUNT</t>
  </si>
  <si>
    <t>GUEST CHECK SHRINK PACK 1 PART PINK 50 COUNT 50 COUNT</t>
  </si>
  <si>
    <t>.75 CIRCLE TRILINGUAL PERM LABELS MONDAY BLUE 2000 COUNT</t>
  </si>
  <si>
    <t>.75 CIRCLE TRILINGUAL PERM LABELS TUESDAY YELLOW 2000 COUNT</t>
  </si>
  <si>
    <t>.75 CIRCLE TRILINGUAL PERM LABELS WEDNESDAY RED 2000 COUNT</t>
  </si>
  <si>
    <t>.75 CIRCLE TRILINGUAL PERM LABELS THURSDAY BROWN 2000 COUNT</t>
  </si>
  <si>
    <t>.75 CIRCLE TRILINGUAL PERM LABELS FRIDAY GREEN 2000 COUNT</t>
  </si>
  <si>
    <t>.75 CIRCLE TRILINGUAL PERM LABELS SATURDAY ORANGE 2000 COUNT</t>
  </si>
  <si>
    <t>.75 CIRCLE TRILINGUAL PERM LABELS SUNDAY BLACK 2000 COUNT</t>
  </si>
  <si>
    <t>DELIVERY 4 PART CARBONLESS DELIVERY WHITE 3 COUNT 100 COUNT</t>
  </si>
  <si>
    <t>FORMED DELIVERY PICO NO CARBON 4PTW 3 CASE 300 COUNT</t>
  </si>
  <si>
    <t>1X1 TRILINGUAL REMOVABLE LABELS MONDAY BLUE 1000 COUNT</t>
  </si>
  <si>
    <t>1X1 TRILINGUAL REMOVABLE LABELS TUESDAY YELLOW 1000 COUNT</t>
  </si>
  <si>
    <t>1X1 TRILINGUAL REMOVABLE LABELS WEDNESDAY RED 1000 COUNT</t>
  </si>
  <si>
    <t>1X1 TRILINGUAL REMOVABLE LABELS THURSDAY BROWN 1000 COUNT</t>
  </si>
  <si>
    <t>1X1 TRILINGUAL REMOVABLE LABELS FRIDAY GREEN 1000 COUNT</t>
  </si>
  <si>
    <t>1X1 TRILINGUAL REMOVABLE LABELS SATURDAY ORANGE 1000 COUNT</t>
  </si>
  <si>
    <t>1X1 TRILINGUAL REMOVABLE LABELS SUNDAY BLACK 1000 COUNT</t>
  </si>
  <si>
    <t>LABELOCKER DISPENSER 1 DAY OF WEEK REMOVABLE 1 COUNT</t>
  </si>
  <si>
    <t>LABELOCKER DISPENSER WITH 7 ROLLS 2 1 COUNT</t>
  </si>
  <si>
    <t>.75 CIRCLE TRILINGUAL REMOVABLE MONDAY BLUE 2000 COUNT</t>
  </si>
  <si>
    <t>.75' CIRCLE TRILINGUAL REMOVABLE TUESDAY YELLOW 2000 COUNT</t>
  </si>
  <si>
    <t>.75 CIRCLE TRILINGUAL REMOVABLE WEDNESDAY RED 2000 COUNT</t>
  </si>
  <si>
    <t>.75 CIRCLE TRILINGUAL REMOVABLE THURSDAY BROWN 2000 COUNT</t>
  </si>
  <si>
    <t>.75 CIRCLE TRILINGUAL REMOVABLE FRIDAY GREEN 2000 COUNT</t>
  </si>
  <si>
    <t>.75 CITRUS SATURDAY ORANGE 2000 COUNT</t>
  </si>
  <si>
    <t>.75 CIRCLE TRILINGUAL REMOVABLE SUNDAY BLACK 2000 COUNT</t>
  </si>
  <si>
    <t>2X3 TRILINGUAL ITEM-DATE-USE BY REMOVABLE MONDAY BLUE 500 COUNT</t>
  </si>
  <si>
    <t>18+</t>
  </si>
  <si>
    <t>2X3 TRILINGUAL ITEM-DATE-USE BY REMOVABLE TUESDAY YELLOW 500 COUNT</t>
  </si>
  <si>
    <t>2X3 TRILINGUAL ITEM-DATE-USE BY WEDNESDAY RED 500 COUNT</t>
  </si>
  <si>
    <t>2X3 TRILINGUAL ITEM-DATE-USE BY THURSDAY BROWN 500 COUNT</t>
  </si>
  <si>
    <t>2X3 TRILINGUAL ITEM-DATE-USE BY FRIDAY GREEN 500 COUNT</t>
  </si>
  <si>
    <t>2X3 TRILINGUAL ITEM-DATE-USE BY SATURDAY ORANGE 500 COUNT</t>
  </si>
  <si>
    <t>2X3 TRILINGUAL ITEM-DATE-USE BY SUNDAY BLACK 500 COUNT</t>
  </si>
  <si>
    <t>2X4 REMOVABLE ITEM-PREP-USE BY LABELS 500 COUNT</t>
  </si>
  <si>
    <t>1X2 REMOVABLE PRODUCT LABELS 500 COUNT</t>
  </si>
  <si>
    <t>2X4 REMOVABLE PRODUCT LABELS 500 COUNT</t>
  </si>
  <si>
    <t>2X4 REMOVABLE SHELF LIFE LABELS 500 COUNT</t>
  </si>
  <si>
    <t>3 INCH CIRCLE USE BY REMOVABLE LABELS 500 COUNT</t>
  </si>
  <si>
    <t>2 USE FIRST REMOVABLE LABELS 500 COUNT</t>
  </si>
  <si>
    <t>GUEST CHECK 1 PART CARBONLESS 50 COUNT 50 COUNT</t>
  </si>
  <si>
    <t>GUEST CHECK 2 PART CARBON SALMON 50 COUNT 50 COUNT</t>
  </si>
  <si>
    <t>GUEST CHECK 1 PART TAB PAPER 50 CASE 100 COUNT</t>
  </si>
  <si>
    <t>GUEST CHECK 2 PART CARBONLESS BOOK 40 COUNT 50 COUNT</t>
  </si>
  <si>
    <t>GUEST CHECK 2 PART CARBONLESS 8 COUNT 250 COUNT</t>
  </si>
  <si>
    <t>GUEST CHECK 2 PART CARBON 40 COUNT 50 COUNT</t>
  </si>
  <si>
    <t>BAR CHECK SHRINK PACK 1 PART 4 COUNT 500 COUNT</t>
  </si>
  <si>
    <t>GUEST CHECK 3 PART CARBONLESS TAB 15 LINE 2000 COUNT</t>
  </si>
  <si>
    <t>GUEST CHECK 2 PART CARBONLESS 40 COUNT 50 COUNT</t>
  </si>
  <si>
    <t>GUEST CHECK 2 PART CARBONLESS TAB 15 LINE 2000 COUNT</t>
  </si>
  <si>
    <t>SHEET CUTS 8.5X11 2 PERFS 2500 COUNT</t>
  </si>
  <si>
    <t>NEMCO FOOD EQUIPMENT</t>
  </si>
  <si>
    <t>BLADE ASSEMBLY 8 SECTION 1 SET</t>
  </si>
  <si>
    <t>BLADE ASSEMBLY 1/4 BLADES ONLY 1 SET</t>
  </si>
  <si>
    <t>BLADE ASSEMBLY 3/8 BLADES ONLY 1 SET</t>
  </si>
  <si>
    <t>BLADE ASSEMBLY 3/16 1 COUNT</t>
  </si>
  <si>
    <t>BLADE ASSEMBLY 1/4 1 SET</t>
  </si>
  <si>
    <t>BLOCK PUSHER FOR 1/4 EASY CHOPPER 1 COUNT</t>
  </si>
  <si>
    <t>HOLDER BLADE ASSEMBLY KIT 3/8CT 1 COUNT</t>
  </si>
  <si>
    <t>WEDGER KIT 8. CUTS 1 COUNT</t>
  </si>
  <si>
    <t>CUTTER FOR. CAN PRO. 1 COUNT</t>
  </si>
  <si>
    <t>CANOPENER PRO. 1 COUNT</t>
  </si>
  <si>
    <t>CHOPPER II 1 COUNT</t>
  </si>
  <si>
    <t>DICER EASY CHOP 3/8 CUTS 1 COUNT</t>
  </si>
  <si>
    <t>SLICER TOMATO 3/16 WITH BLADE ASSEMBLIES 1 COUNT</t>
  </si>
  <si>
    <t>TWO BULB HEAT LAMP 1 COUNT</t>
  </si>
  <si>
    <t>CARVING STATION WITH POLYPROPYLENE BOARD &amp; LAMP 1 COUNT</t>
  </si>
  <si>
    <t>FULL SIZE WARMER 1 COUNT</t>
  </si>
  <si>
    <t>ROUND WARMER 7 QUART 1 COUNT</t>
  </si>
  <si>
    <t>WARMER 11 QUART 1 COUNT</t>
  </si>
  <si>
    <t>WARMER BAR INFRA RED 36 1 COUNT</t>
  </si>
  <si>
    <t>WARMER BAR INFRA RED 48 1 COUNT</t>
  </si>
  <si>
    <t>PIZZA OVEN 1 COUNT</t>
  </si>
  <si>
    <t>HOTPLATE DOUBLE BURNER 1 COUNT</t>
  </si>
  <si>
    <t>PRETZEL CASE 1 COUNT</t>
  </si>
  <si>
    <t>DISPLAY PIZZA 3 TIER 18RAKS 1 COUNT</t>
  </si>
  <si>
    <t>STEAMER SUPERSHOT COUNTERTOP 1 COUNT</t>
  </si>
  <si>
    <t>CMTP FRYER 10 POUND CAPACITY 1 COUNT</t>
  </si>
  <si>
    <t>SPREADER BUTTER 1 COUNT</t>
  </si>
  <si>
    <t>SPIRAL FRY CUTTER 1 COUNT</t>
  </si>
  <si>
    <t>EASY SLICER ADJUSTABLE 1 COUNT</t>
  </si>
  <si>
    <t>EASY FRYKUTTER 1/4 1 COUNT</t>
  </si>
  <si>
    <t>EASY FRYKUTTER 3/8 1 COUNT</t>
  </si>
  <si>
    <t>EASY CHOPPER 1/4 1 COUNT</t>
  </si>
  <si>
    <t>EASY CHOPPER 3/8 1 COUNT</t>
  </si>
  <si>
    <t>EASY WEDGER 6 SECTION 1 COUNT</t>
  </si>
  <si>
    <t>WEDGER EASY 8 SECTION 1 COUNT</t>
  </si>
  <si>
    <t>EASY TOMATO SLICER 3/16 1 COUNT</t>
  </si>
  <si>
    <t>EASY TOMATO SLICER 1/4 1 COUNT</t>
  </si>
  <si>
    <t>SCRAPER BLADES ONLY 6 COUNT</t>
  </si>
  <si>
    <t>EASY LETTUCE KUTTER 1X1 SQUARE 1 COUNT</t>
  </si>
  <si>
    <t>EASY FLOWERING ONION CUTTER 1 COUNT</t>
  </si>
  <si>
    <t>EASY GRILL SCRAPER 1 COUNT</t>
  </si>
  <si>
    <t>O-CEDAR COMMERCIAL</t>
  </si>
  <si>
    <t>MOP O'CEDAR REFILL FOR. LIGHT AND THURSTY 12 EACH</t>
  </si>
  <si>
    <t>BROOM WAREHOUSE CORN WOOD HANDLE ECONOMY 6 COUNT</t>
  </si>
  <si>
    <t>BROOM 100% CORN LOBBY 6 COUNT</t>
  </si>
  <si>
    <t>BROOM MAXICLEAN LOBBY ANGLE 6 COUNT</t>
  </si>
  <si>
    <t>BROOM WAREHOUSE CORN DELUXE WOOD HANDLE 6 COUNT</t>
  </si>
  <si>
    <t>BROOM ANGLE LARGE PLASTIC BRISTLE 6 COUNT</t>
  </si>
  <si>
    <t>MOPSTICK PLASTIC QUICK CHANGE 60 12 COUNT</t>
  </si>
  <si>
    <t>BROOM O'CEDAR FLAGGED HEAD 3 COUNT</t>
  </si>
  <si>
    <t>BROOM MAXI ANGLE UNFLAGGED 4 COUNT</t>
  </si>
  <si>
    <t>BROOM MAXIPLUS ANGLE FLAGGED 4 COUNT</t>
  </si>
  <si>
    <t>MAXI-SORB CUT END MOP 16# 12 COUNT</t>
  </si>
  <si>
    <t>MAXI-SORB CUT END MOP 24# 12 COUNT</t>
  </si>
  <si>
    <t>MAXI-SORB CUT END MOP 32# 12 COUNT</t>
  </si>
  <si>
    <t>MOP POWER STRIP SPONGE 1 EACH</t>
  </si>
  <si>
    <t>SPONGE REFILL 96201 12 COUNT</t>
  </si>
  <si>
    <t>MOP HEAD DUST COTTON 5X24 1 COUNT</t>
  </si>
  <si>
    <t>MOP HEAD DUST COTTON 5X36 1 COUNT</t>
  </si>
  <si>
    <t>BRUSH DECK SCRUB 1 COUNT</t>
  </si>
  <si>
    <t>BRUSH DECK PLASTIC SWIVAL 1 COUNT</t>
  </si>
  <si>
    <t>MOP DUST FRAME METAL 5X24 1 COUNT</t>
  </si>
  <si>
    <t>MOP DUST FRAME METAL 5X36 1 COUNT</t>
  </si>
  <si>
    <t>SCRUBBER STAINLESS STEEL LARGE 35 GRAMS 6 CASE 12 COUNT</t>
  </si>
  <si>
    <t>HANDLE FOR DUST MOP 1 COUNT</t>
  </si>
  <si>
    <t>MOP GROUT BRUSH 9 1 COUNT</t>
  </si>
  <si>
    <t>DUST PAN LOBBY POLYPROPYLENE BLACK 6 COUNT</t>
  </si>
  <si>
    <t>BROOM MAXI LOK ROUGH SURFACE PLASTIC 1 COUNT</t>
  </si>
  <si>
    <t>BRUSH BOWL SPIRAL 1 EACH</t>
  </si>
  <si>
    <t>BRUSH BOWL PLASTIC 1 EACH</t>
  </si>
  <si>
    <t>BRUSH MAXISCRUB 1 EACH</t>
  </si>
  <si>
    <t>PAN DUST LARGE PLASTIC 1 COUNT</t>
  </si>
  <si>
    <t>BRUSH NYLON POT.8 1/2 1 COUNT</t>
  </si>
  <si>
    <t>BRUSH NYLON POT.20 1 COUNT</t>
  </si>
  <si>
    <t>MOPSTICK QUICK RELEASE FIBERGLASS 6 COUNT</t>
  </si>
  <si>
    <t>BRUSH BI.LEVEL 1 COUNT</t>
  </si>
  <si>
    <t>SQUEEGEE FLOOR 18 MOSS HEAD 1 COUNT</t>
  </si>
  <si>
    <t>SQUEEGEE FLOOR 24 CURVED 1 COUNT</t>
  </si>
  <si>
    <t>BUCKET MOP &amp; WRINGER MAXIROUGH 1 COUNT</t>
  </si>
  <si>
    <t>BUCKET MOP &amp; WRINGER MAXIPLUS 1 COUNT</t>
  </si>
  <si>
    <t>SIGN PLASTIC WET FLOOR BILINGUAL 1 COUNT</t>
  </si>
  <si>
    <t>MOP LARGE LOOPED BLEND WHITE 3 COUNT</t>
  </si>
  <si>
    <t>MOPHEAD SUPER TWIST LOOPED-END GREEN LARGE 20 OZ. 3 COUNT</t>
  </si>
  <si>
    <t>MOPHEAD SUPER TWIST LOOPED-END BLUE LARGE 20 OUNCE 3 COUNT</t>
  </si>
  <si>
    <t>HANDLE 54 METAL BROOM 12 COUNT</t>
  </si>
  <si>
    <t>HANDLE METAL 60 THREADED 12 COUNT</t>
  </si>
  <si>
    <t>MOP ANTIMIC MEDIUM LOOPED BLEND ORANGE 3 COUNT</t>
  </si>
  <si>
    <t>MOP MEDIUM LOOPED-END COTTON WHITE 3 COUNT</t>
  </si>
  <si>
    <t>MOP LARGE LOOPED COTTON WHITE 3 COUNT</t>
  </si>
  <si>
    <t>SAFEGUARD MOPSTICK FLAT WOODHANDLE 1 EACH</t>
  </si>
  <si>
    <t>HANDLE BROOM WOOD FOR MAXI LOK 1 EACH</t>
  </si>
  <si>
    <t>MOPHEAD COTTON #24 3 COUNT</t>
  </si>
  <si>
    <t>MOPHEAD ECONOMY 16 OZ. COTTON 3 COUNT</t>
  </si>
  <si>
    <t>MOPHEAD ECONOMY 20 OUNCE COTTON 3 COUNT</t>
  </si>
  <si>
    <t>MOPHEAD ECONOMY 24 OZ. COTTON 3 COUNT</t>
  </si>
  <si>
    <t>MOPHEAD ECONOMY 32 OZ. COTTON 3 COUNT</t>
  </si>
  <si>
    <t>MOPHEAD 24# COTTON BOLT TYPE 3 COUNT</t>
  </si>
  <si>
    <t>MOPHEAD #24 RAYON FLAT 3 COUNT</t>
  </si>
  <si>
    <t>MOPHEAD RAYON 24 OUNCE 3 COUNT</t>
  </si>
  <si>
    <t>ONEIDA/BUFFALO CHINA</t>
  </si>
  <si>
    <t>PLATE CLASSIC SALAD 8&amp;3/8 2 DOZEN</t>
  </si>
  <si>
    <t>SAUCER CLASSIC 5.62 3 DOZEN</t>
  </si>
  <si>
    <t>CUPS SUSSEX 8.5OZ 3 DOZEN</t>
  </si>
  <si>
    <t>BOUILLON CLASSIC 7 OUNCE 3 DOZEN</t>
  </si>
  <si>
    <t>CUP BOUILLON DALLAS 8 OUNCE 3 DOZEN</t>
  </si>
  <si>
    <t>BOWL DALLAS 12.5 OUNCE 3 DOZEN</t>
  </si>
  <si>
    <t>BOWL PASTA SALAD 11.625 1 DOZEN</t>
  </si>
  <si>
    <t>PLATE ESPREE 6.25 3 DOZEN</t>
  </si>
  <si>
    <t>PLATE ESPREE 7.25 3 DOZEN</t>
  </si>
  <si>
    <t>PLATE ESPREE 9 2 DOZEN</t>
  </si>
  <si>
    <t>PLATE ESPREE UNDECORATED 9.75 2 DOZEN</t>
  </si>
  <si>
    <t>PLATE ESPREE 10.25 1 DOZEN</t>
  </si>
  <si>
    <t>PLATTER CHINA ESPREE UNDECORATED 1 DOZEN</t>
  </si>
  <si>
    <t>SAUCER WHITE ESPREE 5.5 3 DOZEN</t>
  </si>
  <si>
    <t>CUP TALISMAN 7 OUNCE WHITE ESPREE 3 DOZEN</t>
  </si>
  <si>
    <t>CUP ESPREE LOTUS 7.5 OUNCE 3 DOZEN</t>
  </si>
  <si>
    <t>MUG ESPREE UNDECORATED 8 OUNCE 3 DOZEN</t>
  </si>
  <si>
    <t>CUP BOUILLON ESPREE 7.5 OUNCE 3 DOZEN</t>
  </si>
  <si>
    <t>DISH CHINA FRUIT 5.75 OUNCE 3 DOZEN</t>
  </si>
  <si>
    <t>DISH GRAPEFRUIT ESPREE 11.5 OUNCE 3 DOZEN</t>
  </si>
  <si>
    <t>BOWL CHINA SOUP DEEP RIM 17.5 2 DOZEN</t>
  </si>
  <si>
    <t>BOWL ESPREE 12 OUNCE 3 DOZEN</t>
  </si>
  <si>
    <t>PLATE ESPREE ACCENT BURGUNDY 6.25 3 DOZEN</t>
  </si>
  <si>
    <t>PLATE ESPREE ACCENT BURGUNDY 9 2 DOZEN</t>
  </si>
  <si>
    <t>DISH FRUIT ESPREE 5.25 BURGUNDY 3 DOZEN</t>
  </si>
  <si>
    <t>PLATE ROLLED EDGE UNDECORATED 5.25 3 DOZEN</t>
  </si>
  <si>
    <t>PLATE CHINA 9 ROLLED EDGE UNDECORATED 2 DOZEN</t>
  </si>
  <si>
    <t>PLATE CHINA #8 9.75 2 DOZEN</t>
  </si>
  <si>
    <t>PLATE ROLLED EDGE 10.5 1 DOZEN</t>
  </si>
  <si>
    <t>PLATE ROLLED EDGE UNDECORATED 11.125 1 DOZEN</t>
  </si>
  <si>
    <t>PLATTER ROLLED EDGE 9.38X6.38 2 DOZEN</t>
  </si>
  <si>
    <t>PLATTER ROLLED EDGE 11.5X7.88 1 DOZEN</t>
  </si>
  <si>
    <t>SAUCER PACIFIC 5.5 CONSERVO 3 DOZEN</t>
  </si>
  <si>
    <t>CUP MOHAWK 8 OUNCE 3 DOZEN</t>
  </si>
  <si>
    <t>MUG PARK 8 OUNCE COUPE 3 DOZEN</t>
  </si>
  <si>
    <t>DISH FRUIT ROLLED EDGE 3.75 OUNCE 3 DOZEN</t>
  </si>
  <si>
    <t>BOWL CHINA NAPPY ROLLED EDGE 12.5OZ 3 DOZEN</t>
  </si>
  <si>
    <t>BOWL SOUP DEEP RIM ROLLED EDGE BUFFALO 2 DOZEN</t>
  </si>
  <si>
    <t>BOWL CHINA SOUP 24 OUNCE 2 DOZEN</t>
  </si>
  <si>
    <t>PLATE CONSERVO UNDECORATED 9 1/2 INCHES 2 DOZEN</t>
  </si>
  <si>
    <t>PLATE CONSERVO 10.5 1 DOZEN</t>
  </si>
  <si>
    <t>CUP JOSE OLE 7 OUNCE COUPE 3 DOZEN</t>
  </si>
  <si>
    <t>MUG COLONY 8 OUNCE 3 DOZEN</t>
  </si>
  <si>
    <t>DISH FRUIT CONSOMME 4.5 OUNCE 3 DOZEN</t>
  </si>
  <si>
    <t>PLATTER CAPRICE 11.63X8.88 1 DOZEN</t>
  </si>
  <si>
    <t>CUP CHINA CAPRICE UNDECORATED 7 1/4 3 DOZEN</t>
  </si>
  <si>
    <t>DISH FRUIT CAPRICE 4.5 OUNCE 3 DOZEN</t>
  </si>
  <si>
    <t>MUG NORTHLAND 7 OUNCE 2 DOZEN</t>
  </si>
  <si>
    <t>PLATE ROLLED EDGE UNDECORATED 7.13 3 DOZEN</t>
  </si>
  <si>
    <t>CONSERVO BOUILLON ATLANTIC 7 1/4 OUNCE 3 DOZEN</t>
  </si>
  <si>
    <t>DISH CHINA FRUIT 4.75 IVORY 3 DOZEN</t>
  </si>
  <si>
    <t>BOWL GRFRT REUSABLE 13 OUNCE 3 DOZEN</t>
  </si>
  <si>
    <t>PLATE CHINA CONSERVO UNDECORATED #3 3 DOZEN</t>
  </si>
  <si>
    <t>PLATE CONSERVO 6.5 UNDECORATED 3 DOZEN</t>
  </si>
  <si>
    <t>PLATE CONSERVO 7.25 3 DOZEN</t>
  </si>
  <si>
    <t>DISH FRUIT CONSERVO 4.5 OUNCE 3 DOZEN</t>
  </si>
  <si>
    <t>PLATE SQUARE 6.25 3 DOZEN</t>
  </si>
  <si>
    <t>PLATE SQUARE 10.25 12 COUNT</t>
  </si>
  <si>
    <t>PLATE DUNE 3 DOZEN</t>
  </si>
  <si>
    <t>ONEIDA/DELCO</t>
  </si>
  <si>
    <t>FORK LEXINGTON DINNER 3 DOZEN</t>
  </si>
  <si>
    <t>1     3    DZ</t>
  </si>
  <si>
    <t>KNIFE LEXINGTON DINNER ONE PIECE 3 DOZEN</t>
  </si>
  <si>
    <t>SPOON LEXINGTON BOUILLON 3 DOZEN</t>
  </si>
  <si>
    <t>SPOON LEXINGTON DESSERT OVAL BOWL SOUP 3 DOZEN</t>
  </si>
  <si>
    <t>TEASPOON LEXINGTON 3 DOZEN</t>
  </si>
  <si>
    <t>FORK DINR COOL HANDLE MELINDA 3 DOZEN</t>
  </si>
  <si>
    <t>FORK SALAD PASTA 3 DOZEN</t>
  </si>
  <si>
    <t>KNIFE DINNER MELINDA 3 DOZEN</t>
  </si>
  <si>
    <t>SPOON COFFEE A.D. MELINDA III 3 DOZEN</t>
  </si>
  <si>
    <t>SPOON BOUILLON 3 DOZEN</t>
  </si>
  <si>
    <t>TESPOON ICED 3 DOZEN</t>
  </si>
  <si>
    <t>SPOON OVAL BOWL SOUP / DESSERT 3 DOZEN</t>
  </si>
  <si>
    <t>TEASPOON MELINDA III 3 DOZEN</t>
  </si>
  <si>
    <t>FORK DINNER GREYSTOKE 7 1/2 3 DOZEN</t>
  </si>
  <si>
    <t>KNIFE DINNER 1PCE GREYSTOKE 9 1/4 3 DOZEN</t>
  </si>
  <si>
    <t>SPOON TEASPOON GREYSTOKE 6 3 DOZEN</t>
  </si>
  <si>
    <t>FORK ORION DINNER 3 DOZEN</t>
  </si>
  <si>
    <t>KNIFE ORION DINNER 1 PIECE 3 DOZEN</t>
  </si>
  <si>
    <t>TEASPOON ORION 3 DOZEN</t>
  </si>
  <si>
    <t>FORK DESSERT STANFORD 3 DOZEN</t>
  </si>
  <si>
    <t>FORK TABLE DINNER STANFORD 3 DOZEN</t>
  </si>
  <si>
    <t>KNIFE DINNER STANFORD ONE PIECE 3 DOZEN</t>
  </si>
  <si>
    <t>TEASPOON STANFORD 3 DOZEN</t>
  </si>
  <si>
    <t>FORK SALAD / DESSERT BARCELONA 3 DOZEN</t>
  </si>
  <si>
    <t>FORK BARCELONA DINNER 3 DOZEN</t>
  </si>
  <si>
    <t>KNIFE DINNER RESTAURANT BARCELONA 3 DOZEN</t>
  </si>
  <si>
    <t>SPOON OVAL BOWL SOUP DESSERT 3 DOZEN</t>
  </si>
  <si>
    <t>SPOON SOUP ROUND BOWL BARCELONA 3 DOZEN</t>
  </si>
  <si>
    <t>SPOON TEA BARCELONA 3 DOZEN</t>
  </si>
  <si>
    <t>FORK DINNER MIDLAND 3 DOZEN</t>
  </si>
  <si>
    <t>KNIFE DINNER MIDLAND 3 DOZEN</t>
  </si>
  <si>
    <t>SPOON BOUILLON MIDLAND 3 DOZEN</t>
  </si>
  <si>
    <t>TEASPOON MIDLAND 3 DOZEN</t>
  </si>
  <si>
    <t>FORK SALAD/PASTRY CONCORD 3 DOZEN</t>
  </si>
  <si>
    <t>SPOON CONCORD BOUILLON 3 DOZEN</t>
  </si>
  <si>
    <t>TEASPOON CONCORD ICED 3 DOZEN</t>
  </si>
  <si>
    <t>TEASPOON CONCORD 3 DOZEN</t>
  </si>
  <si>
    <t>FORK WINDSOR III OYSTER COCKTAIL 3 DOZEN</t>
  </si>
  <si>
    <t>FORK WINDSOR III DINNER 3 DOZEN</t>
  </si>
  <si>
    <t>FORK WINDSOR III SALAD PASTRY 3 DOZEN</t>
  </si>
  <si>
    <t>KNIFE WINDSOR III DINNER 1 PIECE 3 DOZEN</t>
  </si>
  <si>
    <t>SPOON WINDSOR III BOUILLON 3 DOZEN</t>
  </si>
  <si>
    <t>TEASPOON WINDSOR III ICED 3 DOZEN</t>
  </si>
  <si>
    <t>SPOON WINDSOR III DESSERT 3 DOZEN</t>
  </si>
  <si>
    <t>WINDSOR III SPOON TABLE SERVING 3 DOZEN</t>
  </si>
  <si>
    <t>TEASPOON WINDSOR III 3 DOZEN</t>
  </si>
  <si>
    <t>FORK OYSTER DOMINION 3 DOZEN</t>
  </si>
  <si>
    <t>FORK DINNER DOMINION MEDIUM 3 DOZEN</t>
  </si>
  <si>
    <t>FORK SALAD DOMINION 3 DOZEN</t>
  </si>
  <si>
    <t>KNIFE DINNER DOMINION 3 DOZEN</t>
  </si>
  <si>
    <t>SPOON BOUILLON DOMINION 3 DOZEN</t>
  </si>
  <si>
    <t>TEASPOON ICED DOMINION 3 DOZEN</t>
  </si>
  <si>
    <t>SPOON DESSERT DOMINION 3 DOZEN</t>
  </si>
  <si>
    <t>TEASPOON DOMINION 3 DOZEN</t>
  </si>
  <si>
    <t>FORK BELMORE DINNER 3 DOZEN</t>
  </si>
  <si>
    <t>FORK BELMORE SALAD PASTRY 3 DOZEN</t>
  </si>
  <si>
    <t>KNIFE BELMORE DNR 1 PIECE 3 DOZEN</t>
  </si>
  <si>
    <t>SPOON BELMORE BOUILLON 3 DOZEN</t>
  </si>
  <si>
    <t>SPOON BELMORE DESSERT OVAL BOWL 3 DOZEN</t>
  </si>
  <si>
    <t>TEASPOON BELMORE 3 DOZEN</t>
  </si>
  <si>
    <t>FORK PRIMA DINNER 3 DOZEN</t>
  </si>
  <si>
    <t>FORK PRIMA OYSTER 3 DOZEN</t>
  </si>
  <si>
    <t>FORK PRIMA SALAD 3 DOZEN</t>
  </si>
  <si>
    <t>KNIFE PRIMA DINNER 3 DOZEN</t>
  </si>
  <si>
    <t>SPREADER PRIMA BUTTER 3 DOZEN</t>
  </si>
  <si>
    <t>SPOON PRIMA BOUILLON 3 DOZEN</t>
  </si>
  <si>
    <t>SPOON PRIMA DESSERT OVAL BOWL 3 DOZEN</t>
  </si>
  <si>
    <t>TEASPOON PRIMA ICED 3 DOZEN</t>
  </si>
  <si>
    <t>TEASPOON PRIMA 3 DOZEN</t>
  </si>
  <si>
    <t>FORK LAGUNA DINNER 3 DOZEN</t>
  </si>
  <si>
    <t>FORK LAGUNA OYSTER 3 DOZEN</t>
  </si>
  <si>
    <t>FORK LAGUNA SALAD PASTRY 3 DOZEN</t>
  </si>
  <si>
    <t>KNIFE LAGUNA DINNER 3 DOZEN</t>
  </si>
  <si>
    <t>SPOON LAGUNA BOUILLON 3 DOZEN</t>
  </si>
  <si>
    <t>SPOON LAGUNA OVAL BOWL 3 DOZEN</t>
  </si>
  <si>
    <t>TEASPOON LAGUNA ICED 3 DOZEN</t>
  </si>
  <si>
    <t>SPOON SERVE LAGUNA 3 DOZEN</t>
  </si>
  <si>
    <t>TEASPOON LAGUNA 3 DOZEN</t>
  </si>
  <si>
    <t>KNIFE STEAK STAINLESS STEEL POINT ECONOLINE 3 DOZEN</t>
  </si>
  <si>
    <t>KNIFE STEAK STAINLESS STEEL PIONT ECONOLINE 3 DOZEN</t>
  </si>
  <si>
    <t>KNIFE STEAK SABRE STAINLESS STEEL 3 DOZEN</t>
  </si>
  <si>
    <t>KNIFE STEAK TITAN 1 DOZEN</t>
  </si>
  <si>
    <t>50+</t>
  </si>
  <si>
    <t>KNIFE STEAK STAINLESS STEEL SEVILLE 1 DOZEN</t>
  </si>
  <si>
    <t>FORK DELTA DINNER 3 DOZEN</t>
  </si>
  <si>
    <t>KNIFE DINNER 1 PIECE DELTA 3 DOZEN</t>
  </si>
  <si>
    <t>SPOON DELTA BOUILLON 3 DOZEN</t>
  </si>
  <si>
    <t>SPOON DELTA DESSERT OVAL BOWL 3 DOZEN</t>
  </si>
  <si>
    <t>TEASPOON DELTA ICED 3 DOZEN</t>
  </si>
  <si>
    <t>TEASPOON DELTA 3 DOZEN</t>
  </si>
  <si>
    <t>FORK HEAVY DOMINION DINNER 3 DOZEN</t>
  </si>
  <si>
    <t>KNIFE HEAVY DOMINION DINNER 1 PIECE 3 DOZEN</t>
  </si>
  <si>
    <t>SPOON HEAVY DOMINION BOUILLON 3 DOZEN</t>
  </si>
  <si>
    <t>TEASPOON ICED HEAVY DOMINION 3 DOZEN</t>
  </si>
  <si>
    <t>TEASPOON HEAVY DOMINION 3 DOZEN</t>
  </si>
  <si>
    <t>FORK HEAVY WINDSOR DINNER 3 DOZEN</t>
  </si>
  <si>
    <t>KNIFE HEAVY WINDSOR DINNER 1 PIECE 3 DOZEN</t>
  </si>
  <si>
    <t>SPOON HEAVY WINDSOR BOUILLON 3 DOZEN</t>
  </si>
  <si>
    <t>TEASPOON ICED HEAVY WINDSOR 3 DOZEN</t>
  </si>
  <si>
    <t>TEASPOON HEAVY WINDSOR 3 DOZEN</t>
  </si>
  <si>
    <t>KNIFE STEAK STAINLESS STEEL WOOD HANDLE PIONEER 1 DOZEN</t>
  </si>
  <si>
    <t>25+</t>
  </si>
  <si>
    <t>KNIFE STEAK LAREDO 1 DOZEN</t>
  </si>
  <si>
    <t>KNIFE STEAK DORAL 1 DOZEN</t>
  </si>
  <si>
    <t>KNIFE STEAK MONTANA 1 DOZEN</t>
  </si>
  <si>
    <t>STEAK KNIFE ELITE LONG HORN 1 DOZEN</t>
  </si>
  <si>
    <t>FORK OLD ENGLISH DINNER 3 TINE 3 DOZEN</t>
  </si>
  <si>
    <t>FORK OLD ENGLISH DINNER 4 TINE 3 DOZEN</t>
  </si>
  <si>
    <t>FORK COCKTAIL OYSTER OLD ENGLISH 3 DOZEN</t>
  </si>
  <si>
    <t>FORK OLD ENGLISH SALAD PASTRY 3 TINE 3 DOZEN</t>
  </si>
  <si>
    <t>KNIFE DINNER OLD ENGLISH 3 DOZEN</t>
  </si>
  <si>
    <t>KNIFE DINNER STAINLESS STEEL CHROME HOLLOW PISTOL HANDLE OLD ENGLISH 3 DOZEN</t>
  </si>
  <si>
    <t>KNIFE STEAK OLD ENGLISH STAINLESS STEEL CHROME HOLLOW PISTOL HANDLE 3 DOZEN</t>
  </si>
  <si>
    <t>SPOON BOUILLON STAINLESS STEEL OLD ENGLISH 3 DOZEN</t>
  </si>
  <si>
    <t>SPOON ICED TEA OLD ENGLISH 3 DOZEN</t>
  </si>
  <si>
    <t>SPOON DESSERT OVAL BOWL OLD ENGLISH 3 DOZEN</t>
  </si>
  <si>
    <t>SPOON TEA OLD ENGLISH STAINLESS STEEL 3 DOZEN</t>
  </si>
  <si>
    <t>FORK ROSEWOOD 3 DOZEN</t>
  </si>
  <si>
    <t>PLATE ROLLED EDGE UNDECORATED 6.25 3 DOZEN</t>
  </si>
  <si>
    <t>MUG 8 OUNCE WHITE 3 DOZEN</t>
  </si>
  <si>
    <t>MUG CHINA COLGATE BROWN 8 OUNCE 3 DOZEN</t>
  </si>
  <si>
    <t>PLATE NARROW RIM BRIGHT WHITE UNDECORATED 5.5 3 DOZEN</t>
  </si>
  <si>
    <t>PLATE NARROW RIM BRIGHT WHITE UNDECORATED 6.5 3 DOZEN</t>
  </si>
  <si>
    <t>PLATE NARROW RIM CLEAR PACK 6.5 CERAMICOR 3 DOZEN</t>
  </si>
  <si>
    <t>PLATE NARROW RIM BRIGHT WHITE UNDECORATED 7.25 3 DOZEN</t>
  </si>
  <si>
    <t>PLATE NARROW RIM 8.25 CERAMICOR 2 DOZEN</t>
  </si>
  <si>
    <t>PLATE NARROW RIM BRIGHT WHITE UNDECORATED 9 2 DOZEN</t>
  </si>
  <si>
    <t>PLATES NARROW RIM BRIGHT WHITE UNDECORATED 9 1/2 INCHES 2 DOZEN</t>
  </si>
  <si>
    <t>PLATE NARROW RIM 10 INCH UNDECORATED 2 DOZEN</t>
  </si>
  <si>
    <t>PLATE NARROW RIM BRIGHT WHITE UNDECORATED 10.5 1 DOZEN</t>
  </si>
  <si>
    <t>PLATE NARROW RIM CLEAR PACK 10.5 CERAMICOR 1 DOZEN</t>
  </si>
  <si>
    <t>PLATTER OVAL NARROW RIM BRIGHT WHITE UNDECORATED 10 INCH 1 DOZEN</t>
  </si>
  <si>
    <t>PLATTER OVAL NARROW RIM BRIGHT WHITE 11.5 1 DOZEN</t>
  </si>
  <si>
    <t>PLATTER OVAL NARROW RIM CLEAR PACK 11.5 1 DOZEN</t>
  </si>
  <si>
    <t>PLATTER OVAL NARROW RIM BRIGHT WHITE UNDECORATED 13 1 DOZEN</t>
  </si>
  <si>
    <t>FRUIT NARROW RIM BRIGHT WHITE UNDECORATED 4.75 3 DOZEN</t>
  </si>
  <si>
    <t>DISH FRUIT NARROW RIM CLEAR PACK 4.75 3 DOZEN</t>
  </si>
  <si>
    <t>PLATE ROLLED EDGE BRIGHT WHITE UNDECORATED 5.5 3 DOZEN</t>
  </si>
  <si>
    <t>PLATE ROLLED EDGE BRIGHT WHITE UNDECORATED 6.25 3 DOZEN</t>
  </si>
  <si>
    <t>PLATE BRIGHT WHITE UNDECORATED ROLLED EDGE 7.5 3 DOZEN</t>
  </si>
  <si>
    <t>PLATE ROLLED EDGE BRIGHT WHITE UNDECORATED 9 2 DOZEN</t>
  </si>
  <si>
    <t>PLATE ROLLED EDGE BRIGHT WHITE UNDECORATED 9 1/2 INCHES 2 DOZEN</t>
  </si>
  <si>
    <t>PLATE UNDECORATED ROLLED EDGE 10.5 1 DOZEN</t>
  </si>
  <si>
    <t>PLATE UNDECORATED ROLLED EDGE 12 INCH 1 DOZEN</t>
  </si>
  <si>
    <t>PLATTER OVAL ROLLED EDGE BRIGHT WHITE UNDECORATED 10 INCH 1 DOZEN</t>
  </si>
  <si>
    <t>PLATTER OVAL ROLLED EDGE BRIGHT WHITE 11.75 1 DOZEN</t>
  </si>
  <si>
    <t>PLATTER OVAL ROLLED EDGE BRIGHT WHITE 13 1 DOZEN</t>
  </si>
  <si>
    <t>SAUCER TEA STANDARD UNDECORATED 5.62 3 DOZEN</t>
  </si>
  <si>
    <t>SAUCER AFFORD NARROW RIM BRIGHT WHITE UNDECORATED 4.25 3 DOZEN</t>
  </si>
  <si>
    <t>CUP TEA TALL UNDECORATED 7.5 OUNCE 3 DOZEN</t>
  </si>
  <si>
    <t>CUP NARROW RIM BRIGHT WHITE UNDECORATED 3.5 OZ OUNCE 3 DOZEN</t>
  </si>
  <si>
    <t>MUG NARROW RIM 8.75 OUNCE 3 DOZEN</t>
  </si>
  <si>
    <t>MUG CONCORD 8.75 OUNCE CLEAR PACK 3 DOZEN</t>
  </si>
  <si>
    <t>BOUL/SUG BRIGHT WHITE UNDECORATED 7.5 OUNCE 3 DOZEN</t>
  </si>
  <si>
    <t>DISH ROLLED EDGE FRUIT 4.75 CERAMICOR 3 DOZEN</t>
  </si>
  <si>
    <t>GRAPEFRUIT UNDECORATED 6.25/8 OUNCE 3 DOZEN</t>
  </si>
  <si>
    <t>NAPPY BRIGHT WHITE UNDECORATED 12 OUNCE 3 DOZEN</t>
  </si>
  <si>
    <t>NAPPY BRIGHT WHITE UNDECORATED 15 OUNCE 3 DOZEN</t>
  </si>
  <si>
    <t>DISH NAPPY 15 OUNCE CLEAR PACK 3 DOZEN</t>
  </si>
  <si>
    <t>SOUP RIM 9 12 OUNCE 2 DOZEN</t>
  </si>
  <si>
    <t>DISH SOUP DEEP RIM 12 OUNCE CLEAR PACK 2 DOZEN</t>
  </si>
  <si>
    <t>BOWL PASTA 12/22 OUNCE 1 DOZEN</t>
  </si>
  <si>
    <t>PLATE UNDECORATED 6.25 ARCADIA 3 DOZEN</t>
  </si>
  <si>
    <t>PLATE UNDECORATED 7.5 ARCADIA 3 DOZEN</t>
  </si>
  <si>
    <t>PLATE ARCADIA 9 UNDECORATED 2 DOZEN</t>
  </si>
  <si>
    <t>PLATE ARCADIA 9.87 UNDECORATED 2 DOZEN</t>
  </si>
  <si>
    <t>PLATES ARCADIA 10.5/8 OUNCE 1 DOZEN</t>
  </si>
  <si>
    <t>SAUCER TEA ARCADIA 5.63 3 DOZEN</t>
  </si>
  <si>
    <t>CUP ARCADIA STACKING 7.5OZ 3 DOZEN</t>
  </si>
  <si>
    <t>CUP TEA TALL ARCADIA 7 OUNCE 3 DOZEN</t>
  </si>
  <si>
    <t>MUGS ARCADIA STACKABLE 10OZ 3 DOZEN</t>
  </si>
  <si>
    <t>CUP BOUILLON ARCADIA 7.5 OUNCE 3 DOZEN</t>
  </si>
  <si>
    <t>DISH FRUIT UNDECORATED 5.13 ARCADIA 3 DOZEN</t>
  </si>
  <si>
    <t>DISH GRAPEFRUIT ARIEL'S CASTLE 6.5 10OZ 3 DOZEN</t>
  </si>
  <si>
    <t>SOUP BOWL ARCADIA UNDECORATED DEEP RIM 12OZ 2 DOZEN</t>
  </si>
  <si>
    <t>SOUFFLE BRIGHT WHITE 5 OUNCE 2 DOZEN</t>
  </si>
  <si>
    <t>SOUFFLE 10 OUNCE 1 DOZEN</t>
  </si>
  <si>
    <t>PLATE CREAM WHITE ROLLED EDGE 5.5 3 DOZEN</t>
  </si>
  <si>
    <t>PLATE CREAM WHITE ROLLED EDGE UNDECORATED 6.25 3 DOZEN</t>
  </si>
  <si>
    <t>PLATE CREAM WHITE ROLLED EDGE UNDECORATED 7.125 3 DOZEN</t>
  </si>
  <si>
    <t>PLATE CREAM WHITE ROLLED EDGE UNDECORATED 9 2 DOZEN</t>
  </si>
  <si>
    <t>PLATE CREAM WHITE ROLLED EDGE UNDECORATED 9.625 2 DOZEN</t>
  </si>
  <si>
    <t>PLATE 10.5 ATLANTIC 1 DOZEN</t>
  </si>
  <si>
    <t>PLATE ATLANTIC 12 INCH ROLLED EDGE 1 DOZEN</t>
  </si>
  <si>
    <t>PLATTER OVAL UNDECORATED ROLLED EDGE 9.375 2 DOZEN</t>
  </si>
  <si>
    <t>PLATTER OVAL UNDECORATED ROLLED EDGE 11.625 1 DOZEN</t>
  </si>
  <si>
    <t>PLATTER ROLLED EDGE 12.63 ATLANTIC 1 DOZEN</t>
  </si>
  <si>
    <t>SAUCER TEA CREAM WHITE 5.5 3 DOZEN</t>
  </si>
  <si>
    <t>CUP TEA TALL UNDECORATED 7 OUNCE 3 DOZEN</t>
  </si>
  <si>
    <t>MUG CREAM WHITE 8 OUNCE 3 DOZEN</t>
  </si>
  <si>
    <t>BOUILLON 7.5 OUNCE CREME WHITE UNDECORATED 3 DOZEN</t>
  </si>
  <si>
    <t>FRUIT CREAM WHITE ROLLED EDGE 4 3 DOZEN</t>
  </si>
  <si>
    <t>FRUIT CREAM WHITE ROLLED EDGE 4.75 3 DOZEN</t>
  </si>
  <si>
    <t>GRAPEFRUIT CREAM WHITE 6.375/10OZ 3 DOZEN</t>
  </si>
  <si>
    <t>NAPPY CREAM WHITE 12 OUNCE 4 1/8 3 DOZEN</t>
  </si>
  <si>
    <t>NAPPY CREAM WHITE 15 OUNCE 3 DOZEN</t>
  </si>
  <si>
    <t>SOUP RIM CREAM WHITE 9/12 OUNCE 2 DOZEN</t>
  </si>
  <si>
    <t>BOWL PASTA SALAD COUPE 32OZ 2 DOZEN</t>
  </si>
  <si>
    <t>BOWL RIMMED PASTA 11.3830OZ 1 DOZEN</t>
  </si>
  <si>
    <t>PLATE NARROW RIM CREAM WHITE 5.5 3 DOZEN</t>
  </si>
  <si>
    <t>PLATE NARROW CREAM WHITE 6.5 3 DOZEN</t>
  </si>
  <si>
    <t>PLATE NARROW RIM CREAM WHITE 7.5 3 DOZEN</t>
  </si>
  <si>
    <t>PLATE NARROW RIM CREAM WHITE 9 NARROW RIM 2 DOZEN</t>
  </si>
  <si>
    <t>PLATE NARROW RIM CREAM WHITE 9 1/2 INCHES 2 DOZEN</t>
  </si>
  <si>
    <t>PLATE NARROW RIM CREAM WHITE 10.5 1 DOZEN</t>
  </si>
  <si>
    <t>PLATTER OVAL NARROW CREAM WHITE 9 1/2 INCHES 2 DOZEN</t>
  </si>
  <si>
    <t>PLATTER OVAL NARROW RIM CREAM WHITE 11.5 1 DOZEN</t>
  </si>
  <si>
    <t>PLATTER OVAL NARROW RIM CREAM WHITE 13.25 1 DOZEN</t>
  </si>
  <si>
    <t>FRUIT NARROW RIM CREAM WHITE 4.625 3 DOZEN</t>
  </si>
  <si>
    <t>FORK BAGUETTE STAINLESS DINNER 1 DOZEN</t>
  </si>
  <si>
    <t>FORK TABLE EUROPEAN BAGUETTE 1 DOZEN</t>
  </si>
  <si>
    <t>FORK COCKTAIL OYSTER 1 DOZEN</t>
  </si>
  <si>
    <t>FORK SALAD PASTRY BAGUETTE 1 DOZEN</t>
  </si>
  <si>
    <t>KNIFE BUTTER BAGUETTE HOLLOW HANDLE 1 DOZEN</t>
  </si>
  <si>
    <t>KNIFE TBLE BAGUETTE ONE PIECE 1 DOZEN</t>
  </si>
  <si>
    <t>KNIF DINNER H.H. BAGUETTE 1 DOZEN</t>
  </si>
  <si>
    <t>SPOON A.D. COFFEE BAGUETTE STAINLESS 1 DOZEN</t>
  </si>
  <si>
    <t>SPOON DESSERT OVAL BAGUETTE 1 DOZEN</t>
  </si>
  <si>
    <t>SPOON ICED TEA BAGUETTE 1 DOZEN</t>
  </si>
  <si>
    <t>TEASPOON BAGUETTE STAINLESS STEEL 1 DOZEN</t>
  </si>
  <si>
    <t>FORK SALAD / DESSERT CORELLI 1 DOZEN</t>
  </si>
  <si>
    <t>FORK TABLE EUROPEAN SIZE CORELLI 1 DOZEN</t>
  </si>
  <si>
    <t>KNIFE TABLE 1 PIECE CORELLI 1 DOZEN</t>
  </si>
  <si>
    <t>TEASPOON UNITED STATES SIZE CORELLI 1 DOZEN</t>
  </si>
  <si>
    <t>FORK DESSERT REFLECTION 1 DOZEN</t>
  </si>
  <si>
    <t>FORK TABLE REFLECTION 1 DOZEN</t>
  </si>
  <si>
    <t>KNIFE TABLE 1 PIECE REFLECTION 1 DOZEN</t>
  </si>
  <si>
    <t>SPOON SOUP REFLECTION 1 DOZEN</t>
  </si>
  <si>
    <t>TEASPOON REFLECTION 1 DOZEN</t>
  </si>
  <si>
    <t>ONEIDA/REGO</t>
  </si>
  <si>
    <t>PLATE NARROW RIM BRIGHT WHITE 5.5 3 DOZEN</t>
  </si>
  <si>
    <t>PLATE NARROW RIM BRIGHT WHITE 6 3/8 3 DOZEN</t>
  </si>
  <si>
    <t>CHIN PLATE 7.25 UNDECORATED 3 DOZEN</t>
  </si>
  <si>
    <t>PLATE CHINA DINNER NARROW RIM 9 2 DOZEN</t>
  </si>
  <si>
    <t>DISH CHINA NARROW RIM OVAL 1 DOZEN</t>
  </si>
  <si>
    <t>DISH FRUIT NO RIM BRITE 4.5OZ 3 DOZEN</t>
  </si>
  <si>
    <t>PLATE ROLLED EDGE BRIGHT WHITE 5.5 3 DOZEN</t>
  </si>
  <si>
    <t>PLATE ROLLED EDGE BRIGHT WHITE 9 2 DOZEN</t>
  </si>
  <si>
    <t>PLATE ROLLED EDGE BRIGHT WHITE 9.75 2 DOZEN</t>
  </si>
  <si>
    <t>PLATE ROLLED EDGE BRIGHT WHITE 10.25 1 DOZEN</t>
  </si>
  <si>
    <t>CUP VASSAR 7 OUNCE BRIGHT WHITE 3 DOZEN</t>
  </si>
  <si>
    <t>MUG CAFE 8 OUNCE BRIGHT WHITE 3 DOZEN</t>
  </si>
  <si>
    <t>MUG UNION 7.5 OUNCE 3 DOZEN</t>
  </si>
  <si>
    <t>MUG C. HANDLE BRIGHT WHITE 11 OUNCE 3 DOZEN</t>
  </si>
  <si>
    <t>CUP BOUILLON NO HANDLE 7 OUNCE 3 DOZEN</t>
  </si>
  <si>
    <t>DISH FRUIT ROLLED EDGE BRIGHT WHITE 6.25 OUNCE 3 DOZEN</t>
  </si>
  <si>
    <t>DISH CHINA GRAPEFRUIT 6.5 ROLLED EDGE 3 DOZEN</t>
  </si>
  <si>
    <t>BOWL NAPPY ROLLED EDGE BRIGHT WHITE 13.5OZ 3 DOZEN</t>
  </si>
  <si>
    <t>BOWL CHINA SOUP ROLLED-EDGE RIM 9 2 DOZEN</t>
  </si>
  <si>
    <t>BOWL PASTA ROLLED EDGE 44 OUNCE 1 DOZEN</t>
  </si>
  <si>
    <t>SOUP BOWL ONION EARTH TONE 10 OUNCE 2 DOZEN</t>
  </si>
  <si>
    <t>PLATE DUNES 9 2 DOZEN</t>
  </si>
  <si>
    <t>PLATE NARROW RIM DUNES 9 1/2 INCHES 2 DOZEN</t>
  </si>
  <si>
    <t>PLATTER OVAL NARROW RIM 11.5 2 DOZEN</t>
  </si>
  <si>
    <t>SAUCER SALEM DUNES REGO 5.75 3 DOZEN</t>
  </si>
  <si>
    <t>MUG CAFE DUNES 8 OUNCE 3 DOZEN</t>
  </si>
  <si>
    <t>FRUIT DISH DUNE 4 5/8 3 DOZEN</t>
  </si>
  <si>
    <t>SAUCER STACKABLE 5 7/8 CERAMICOR 3 DOZEN</t>
  </si>
  <si>
    <t>SAUCER MILANO 4.25 3 DOZEN</t>
  </si>
  <si>
    <t>CUPS STACKABLE CERAMICOR 3 DOZEN</t>
  </si>
  <si>
    <t>CHINA MUG TEA &amp; COFFEE 3 OUNCE 3 DOZEN</t>
  </si>
  <si>
    <t>ONEIDA/SILVERSMITHS</t>
  </si>
  <si>
    <t>FORK DINNER SCROLL STAINLESS STEEL 3 DOZEN</t>
  </si>
  <si>
    <t>FORK PASTRY SCROLL SALAD 3 DOZEN</t>
  </si>
  <si>
    <t>KNIFE DINNER SCROLL ONE PC. 3 DOZEN</t>
  </si>
  <si>
    <t>SPOON BOUILLON SCROLL 3 DOZEN</t>
  </si>
  <si>
    <t>TEASPOON ICED SCROLL 3 DOZEN</t>
  </si>
  <si>
    <t>TEASPOON SCROLL 3 DOZEN</t>
  </si>
  <si>
    <t>FORK TABLE MARQUETTE 3 DOZEN</t>
  </si>
  <si>
    <t>FORK SALAD MARQUETTE 3 DOZEN</t>
  </si>
  <si>
    <t>KNIFE TABLE MARQUETTE 3 DOZEN</t>
  </si>
  <si>
    <t>SPOON BOUILLON MARQUETTE 3 DOZEN</t>
  </si>
  <si>
    <t>SPOON TEA MARQUETTE 3 DOZEN</t>
  </si>
  <si>
    <t>FORK UNITY RESTAURANT DESSERT 3 DOZEN</t>
  </si>
  <si>
    <t>FORK UNITY SALAD PASTRY 3 DOZEN</t>
  </si>
  <si>
    <t>KNIFE UNITY RESTAURANT HEAVYWEIGHT 3 DOZEN</t>
  </si>
  <si>
    <t>SPOON UNITY ROUND SOUP BOWL 3 DOZEN</t>
  </si>
  <si>
    <t>SPOON UNITY TEASPOON 3 DOZEN</t>
  </si>
  <si>
    <t>FORK DINNER NEEDLEPOINT STAINLESS STEEL 3 DOZEN</t>
  </si>
  <si>
    <t>FORK SALAD PASTRY NEEDLEPOINT STAINLESS STEEL 3 DOZEN</t>
  </si>
  <si>
    <t>KNIFE DINNER HEAVYWEIGHT NEEDLEPOINT 3 DOZEN</t>
  </si>
  <si>
    <t>SPOON BOUILLON NEEDLEPOINT 3 DOZEN</t>
  </si>
  <si>
    <t>SPOON DESERT SOUP NEEDLEPOINT 3 DOZEN</t>
  </si>
  <si>
    <t>TABLESPOON NEEDLEPOINT 1 DOZEN</t>
  </si>
  <si>
    <t>FLAT SPOON TEA NEEDLEPOINT STAINLESS STEEL 3 DOZEN</t>
  </si>
  <si>
    <t>FLAT ARBR FAST COOK DINNER 3 DOZEN</t>
  </si>
  <si>
    <t>FORK ARBOR ROSE SALAD PASTRY 3 DOZEN</t>
  </si>
  <si>
    <t>KNIFE ARBOR ROSE DINNER 1 PIECE 3 DOZEN</t>
  </si>
  <si>
    <t>SPOON ARBOR ROSE BOUILLON 3 DOZEN</t>
  </si>
  <si>
    <t>TEASPOON ARBOR ROSE 3 DOZEN</t>
  </si>
  <si>
    <t>FORK CHATEAU DINNER STAINLESS STEEL 3 DOZEN</t>
  </si>
  <si>
    <t>FORK SALAD CHATEAU 3 DOZEN</t>
  </si>
  <si>
    <t>KNIFE CHATEAU RESTAURANT 3 DOZEN</t>
  </si>
  <si>
    <t>SPOON BOUILLON CHATEAU STAINLESS STEEL 3 DOZEN</t>
  </si>
  <si>
    <t>SPOON CHATEAU TEA STAINLESS STEEL 3 DOZEN</t>
  </si>
  <si>
    <t>FLAT VILLAGE COMMON DINNER FORK STAINLESS STEEL 3 DOZEN</t>
  </si>
  <si>
    <t>KNIFE DINNER VILLAGE COMMON STAINLESS STEEL CHROME SOLID HANDLE 3 DOZEN</t>
  </si>
  <si>
    <t>SPOON BOUILLON VILLAGE COMMON STAINLESS STEEL CHROME 3 DOZEN</t>
  </si>
  <si>
    <t>FLAT VILLAGE COMMON TEA SPOON STAINLESS STEEL 3 DOZEN</t>
  </si>
  <si>
    <t>FORK DINNER NEW RIM STAINLESS 1 DOZEN</t>
  </si>
  <si>
    <t>FORK TABLE NEW RIM STAINLESS 1 DOZEN</t>
  </si>
  <si>
    <t>FORK OYSTER COCKTAIL NEW RIM STAINLESS STEEL 1 DOZEN</t>
  </si>
  <si>
    <t>FORK NEWRIM SALAD PASTRY 1 DOZEN</t>
  </si>
  <si>
    <t>KNIFE TABLE 1 PIECE NEW RIM STAINLESS 1 DOZEN</t>
  </si>
  <si>
    <t>KNIFE BUTTER NEW RIM 1 PIECE 1 DOZEN</t>
  </si>
  <si>
    <t>SPOON NEWRIM SPOON DEMITASSE 1 DOZEN</t>
  </si>
  <si>
    <t>SPOON BOUILLON NEW RIM STAINLESS 1 DOZEN</t>
  </si>
  <si>
    <t>SPOON NEW RIM DESSERT OVAL BOWL 1 DOZEN</t>
  </si>
  <si>
    <t>SPOON ICED TEA NEW RIM STAINLESS STEEL 1 DOZEN</t>
  </si>
  <si>
    <t>SPOON TABLE SERVING NEW RIM STAINLESS 1 DOZEN</t>
  </si>
  <si>
    <t>SPOON TEA NEW RIM STAINLESS STEEL U.S. SIZE 1 DOZEN</t>
  </si>
  <si>
    <t>ORECK COMMERCIAL SALES</t>
  </si>
  <si>
    <t>BELTS VACUUM FOR XL2000RHA&amp;XLPRO17A 3 COUNT</t>
  </si>
  <si>
    <t>DRYER FLOOR AIR MOVER 3. SPEED 1 COUNT</t>
  </si>
  <si>
    <t>VACUUM MINI CANISTER 1 COUNT</t>
  </si>
  <si>
    <t>FILTER BAG PAPER REPLACEMENT UPRO14&amp;18 10 COUNT</t>
  </si>
  <si>
    <t>BAGS FOR XL200RHA 25 COUNT</t>
  </si>
  <si>
    <t>BAGS VACUUM FOR BP7002RHA 10 COUNT</t>
  </si>
  <si>
    <t>SWEEPER 9 HOKY 1 COUNT</t>
  </si>
  <si>
    <t>SWEEPER 12 INCH HOKY 1 COUNT</t>
  </si>
  <si>
    <t>ORECK SWEEPER SWEEP &amp; GO RECHARGEABLE 1 COUNT</t>
  </si>
  <si>
    <t>VACUUM 8.LB UPRIGHT 1 COUNT</t>
  </si>
  <si>
    <t>VACUUM 8LB COMMERCIAL UPRIGHT ENDUROLIFE 1 COUNT</t>
  </si>
  <si>
    <t>VACUUM PRO. 14 DUAL MOTOR 1 COUNT</t>
  </si>
  <si>
    <t>VACUUM 6QT BACKPACK 5 TOOL 1 COUNT</t>
  </si>
  <si>
    <t>PAN PACIFIC PLASTICS INC.</t>
  </si>
  <si>
    <t>T-SACK PRINTED THANK YOU 12M 11.5X6.5X21 1000 COUNT</t>
  </si>
  <si>
    <t>T-SACK PLAIN WHITE 1000 COUNT</t>
  </si>
  <si>
    <t>PITT PLASTICS</t>
  </si>
  <si>
    <t>LINER LOW DENSITY BLACK 24X32 .50MIL 500 COUNT 12-16GAL GALLON</t>
  </si>
  <si>
    <t>LINER LOW DENSITY BLACK 30X36 1.8MIL 250 COUNT 20-30GAL GALLON</t>
  </si>
  <si>
    <t>LINER LOW DENSITY BLACK 33X39 .6MIL 33 GAL COUNT</t>
  </si>
  <si>
    <t>LINER LOW DENSITY BLACK 33X39 1.3MIL 100 COUNT</t>
  </si>
  <si>
    <t>LINER LOW DENSITY BLACK 40X46 1.8MIL 40-45GAL COUNT</t>
  </si>
  <si>
    <t>LINER LOW DENSITY BLACK 40X46 1.3MIL 100 COUNT 40-45GAL GALLON</t>
  </si>
  <si>
    <t>LINER LOW DENSITY BLACK 36X58 .65MIL 100 COUNT 55 GALLON</t>
  </si>
  <si>
    <t>LINER LOW DENSITY BLACK 36X58 1.3MIL 100 COUNT 55 GALLON</t>
  </si>
  <si>
    <t>LINER LOW DENSITY BLACK 38X58 .65MIL 100 COUNT 60 GALLON</t>
  </si>
  <si>
    <t>LINER LOW DENSITY BLACK 38X58 .95MIL 100 COUNT</t>
  </si>
  <si>
    <t>BAG FOOD CLEAR 21X35 250 COUNT</t>
  </si>
  <si>
    <t>DOGGIE BAG WHITE 7X12 1.25MIL 1000 COUNT</t>
  </si>
  <si>
    <t>LINER BLACK 38X58 1.35ML 100 CASE 60 GALLON</t>
  </si>
  <si>
    <t>CAN LINER BLACK STAR 60 GALLON PERFORATTED ROLL 10 CASE 10 COUNT</t>
  </si>
  <si>
    <t>CAN LINER BLACK EXTRA EXTRA HEAVY PERFORATED 40X46 10 CASE 10 COUNT</t>
  </si>
  <si>
    <t>CAN LINER BLACK STAR 40 LOAD 45 GALLON 10 CASE 10 COUNT</t>
  </si>
  <si>
    <t>LINER HI DENSITY FLAT PACK CLEAR 24X23 8MIC 1000 COUNT 16 GALLON</t>
  </si>
  <si>
    <t>LINER HI DENSITY FLAT PACK CLEAR 24X23 6MIC 1000 COUNT 16 GALLON</t>
  </si>
  <si>
    <t>LINER HI DENSITY FLAT PACK CLEAR 30X3712MIC 500 COUNT 30 GALLON</t>
  </si>
  <si>
    <t>LINER HI DENSITY FLAT PACK CLEAR 33X4012MIC 250 COUNT 33 GALLON</t>
  </si>
  <si>
    <t>LINER HI DENSITY FLAT PACK CLR33X4016MIC 250 COUNT 33 GALLON</t>
  </si>
  <si>
    <t>LINER HI DENSITY FLAT PACK CLR36X6012MIC 200 COUNT 55 GALLON</t>
  </si>
  <si>
    <t>LINER HI DENSITY FLAT PACK CLR36X60 16MIC 200 COUNT</t>
  </si>
  <si>
    <t>LINER HI DENSITY FLAT PACK CLR38X60 14MIC 200 COUNT 60 GALLON</t>
  </si>
  <si>
    <t>LINER HI DENSITY FLAT PACK CLR38X60 16MIC 200 COUNT 60 GALLON</t>
  </si>
  <si>
    <t>LINER HI DENSITY FLAT PACK CLR40X48 12MIC 250 COUNT 45 GALLON</t>
  </si>
  <si>
    <t>LINER HI DENSITY FLAT PACK CLR40X48 16MIC 250 COUNT 45 GALLON</t>
  </si>
  <si>
    <t>LINER HI DENSITY FLAT PACK CLR43X48 16MIC 200 COUNT</t>
  </si>
  <si>
    <t>ICE BAG NON PRINT 12X21 1.8MIL 10 POUND 1000 COUNT</t>
  </si>
  <si>
    <t>ICE BAG PRINT 12X21 1.6MIL 1000 COUNT 10LB POUND</t>
  </si>
  <si>
    <t>ICE BAG PRINT 11X21 1.6MIL 8LB COUNT</t>
  </si>
  <si>
    <t>LINER HIGH DENSITY MINI ROLL CLR24X33 8MIC 12-16GAL COUNT</t>
  </si>
  <si>
    <t>LINER HIGH DENSITY MINI ROLL CLR24X33 6MIC 12-16GAL COUNT</t>
  </si>
  <si>
    <t>LINER HIGH DENSITY MINI ROLL CLR30X37 8MIC 20 CASE 20-30GAL COUNT</t>
  </si>
  <si>
    <t>LINER HIGH DENSITY MINI ROLL CLR30X37 10MIC 20 CASE 20-30GAL COUNT</t>
  </si>
  <si>
    <t>LINER HIGH DENSITY MINI ROLL CLR30X37 12MIC 20-30GAL COUNT</t>
  </si>
  <si>
    <t>LINER HIGH DENSITY MINI ROLL CLR33X40 12MIC 33GAL COUNT</t>
  </si>
  <si>
    <t>LINER HIGH DENSITY MINI ROLL CLR33X40 16MIC 250 COUNT 33 GALLON</t>
  </si>
  <si>
    <t>LINER HIGH DENSITY MINI ROLL CLR36X60 16 MICRONS 200 COUNT 55 GALLON</t>
  </si>
  <si>
    <t>LINER HIGH DENSITY MINI ROLL BLK36X60 22MC 150 COUNT 55 GALLON</t>
  </si>
  <si>
    <t>LINER HIGH DENSITY MINI ROLL CLR38X60 16 MICRONS 60GAL COUNT</t>
  </si>
  <si>
    <t>LINER HIGH DENSITY MINI ROLL BLK38X60 22MC 150 COUNT 60 GALLON</t>
  </si>
  <si>
    <t>LINER HIGH DENSITY MINI ROLL CLR40X48 12 MICRONS 40-45GAL COUNT</t>
  </si>
  <si>
    <t>LINER HIGH DENSITY MINI ROLL CLR40X48 16 MICRONS 10 CASE 40-45GAL COUNT</t>
  </si>
  <si>
    <t>LINER HIGH DENSITY MINI ROLL CLR40X48 22MC 150 COUNT 40-45GAL ROLL</t>
  </si>
  <si>
    <t>LINER HIGH DENSITY MINI ROLL BLK40X48 22MC 150 COUNT 40-45GAL ROLL</t>
  </si>
  <si>
    <t>LINER HIGH DENSITY MINI ROLL CLR43X48 16 MICRONS 8 CASE 56GAL COUNT</t>
  </si>
  <si>
    <t>CAN LINER WHITE STAR 12 16 GALLON 10 CASE 50 COUNT</t>
  </si>
  <si>
    <t>CAN LINER WHITE STAR 33 GALLON PERFORATTED ROLL 10 CASE 15 COUNT</t>
  </si>
  <si>
    <t>CAN LINER WHITE STAR 40 LOAD 45 GALLON 10 CASE 10 COUNT</t>
  </si>
  <si>
    <t>CAN LINER WHITE STAR 60 GALLON PERFORATTED ROLL 4 CASE 25 COUNT</t>
  </si>
  <si>
    <t>T-SHIRT BAG WHITE 1/6BR 13MIC 1000 COUNT</t>
  </si>
  <si>
    <t>LINER WASTEBASKET 15X9X23 500 COUNT 10 GALLON</t>
  </si>
  <si>
    <t>LINER LOW DENSITY CLEAR 24X23 0.4MIL 500 COUNT 10 GALLON</t>
  </si>
  <si>
    <t>LINER LOW DENSITY BUF24X32 0.4MIL 500 COUNT 15 GALLON</t>
  </si>
  <si>
    <t>LINER LOW DENSITY CLEAR 24X32 0.4MIL 500 COUNT 15 GALLON</t>
  </si>
  <si>
    <t>LINER LOW DENSITY BUF30C36 0.6MIL 250 COUNT 30 GALLON</t>
  </si>
  <si>
    <t>LINER LOW DENSITY CLEAR 30X36 0.6MIL 250 COUNT 30 GALLON</t>
  </si>
  <si>
    <t>LINER LOW DENSITY BUF30X36 0.8MIL 250 CASE 30 GALLON</t>
  </si>
  <si>
    <t>LINER LOW DENSITY CLEAR 30X36 0.8MIL 250 CASE 30 GALLON</t>
  </si>
  <si>
    <t>LINER LOW DENSITY BUF33X39 0.6MIL 250 COUNT 33 GALLON</t>
  </si>
  <si>
    <t>LINER LOW DENSITY BUFFET 33X39 0.8MIL 250 COUNT 33 GALLON</t>
  </si>
  <si>
    <t>LINER LOW DENSITY CLEAR 33X39 0.8MIL 250 COUNT 33 GALLON</t>
  </si>
  <si>
    <t>LINER LOW DENSITY BUF33X39 1.2MIL 100 COUNT 33 GALLON</t>
  </si>
  <si>
    <t>LINER LOW DENSITY CLEAR 33X39 1.2MIL 100 COUNT 33 GALLON</t>
  </si>
  <si>
    <t>LINER LOW DENSITY BUF40X46 0.6MIL 250 COUNT 45 GALLON</t>
  </si>
  <si>
    <t>LINER LOW DENSITY BUF40X46 0.8MIL 125 COUNT 45 GALLON</t>
  </si>
  <si>
    <t>LINER LOW DENSITY BUFFET 40X46 1.2MIL 100 COUNT 45 GALLON</t>
  </si>
  <si>
    <t>LINER LOW DENSITY CLEAR 40X46 1.2MIL 100 COUNT 45 GALLON</t>
  </si>
  <si>
    <t>40X46 LINER CAN CLEAR 100 COUNT</t>
  </si>
  <si>
    <t>LINER LOW DENSITY BUF43X48 0.8MIL 100 COUNT 56GAL GALLON</t>
  </si>
  <si>
    <t>LINER HEAVY REFUSE 36X58 100 COUNT 55 GALLON</t>
  </si>
  <si>
    <t>LINER LOW DENSITY CLEAR 36X58 0.8MIL 100 COUNT 55 GALLON</t>
  </si>
  <si>
    <t>LINER LOW DENSITY BUF36X58 0.8MIL 200 COUNT 55 GALLON</t>
  </si>
  <si>
    <t>LINER LOW DENSITY BUF36C58 1.2MIL 100 COUNT 55 GALLON</t>
  </si>
  <si>
    <t>LINER LOW DENSITY CLEAR 36X58 1.2MIL 126 COUNT 55 GALLON</t>
  </si>
  <si>
    <t>LINER LOW DENSITY CLEAR 38X58 0.8MIL 100 COUNT 60 GALLON</t>
  </si>
  <si>
    <t>LINER LOW DENSITY CLEAR 38X58 0.8MIL 200 CASE 60 GALLON</t>
  </si>
  <si>
    <t>LINER LOW DENSITY BUF38X58 1.2MIL 100 COUNT 60 GALLON</t>
  </si>
  <si>
    <t>BREAD BAG CLEAR 6X5X19 0.9ML 2 CASE 500 COUNT</t>
  </si>
  <si>
    <t>FOOD BAG DOUBLE FRYER 8X3X15 1.0ML 2 CASE 500 COUNT</t>
  </si>
  <si>
    <t>FOOD BAG LARGE ROASTER 8X4X18 1.0ML 2 CASE 500 COUNT</t>
  </si>
  <si>
    <t>FOOD BAG LARGE ROASTER 8X4X18 1.2ML 2 CASE 500 COUNT</t>
  </si>
  <si>
    <t>FOOD BAG ONE POTATO 4X2X8 0.9MIL 2 CASE 500 COUNT</t>
  </si>
  <si>
    <t>FOOD BAG HAM &amp; TURKEY 12X6X24 1.2MIL 2 CASE 250 COUNT</t>
  </si>
  <si>
    <t>FOOD BAG 1QT 4X2X12 0.9MIL 2 CASE 500 COUNT</t>
  </si>
  <si>
    <t>FOOD BAG LARGE FRYER 6X3X12 .9MIL 2 CASE 500 COUNT</t>
  </si>
  <si>
    <t>BREAD MEDIUM BAG 2 CASE 500 COUNT</t>
  </si>
  <si>
    <t>FOOD BAG SMALL ROASTER 6X3X15 .9MIL 2 CASE 500 COUNT</t>
  </si>
  <si>
    <t>BAG SNAP &amp; SEAL 500 COUNT 1 GALLON</t>
  </si>
  <si>
    <t>SANDWICH BAG CLEAR 6X6 1.0MIL 2000 COUNT</t>
  </si>
  <si>
    <t>LINER LOW DENSITY INDUSTRIAL BLACK 24X321.7ML 250 COUNT 15 GALLON</t>
  </si>
  <si>
    <t>LINER LOW DENSITY INDUSTRIAL BLACK 33X391.7ML 125 COUNT 33 GALLON</t>
  </si>
  <si>
    <t>LINER LOW DENSITY INDUSTRIAL BLACK 40X46 1.7M 100 COUNT 45 GALLON</t>
  </si>
  <si>
    <t>LINER LOW DENSITY INDUSTRIAL BLACK 43X48 137M 100 COUNT 56 GALLON</t>
  </si>
  <si>
    <t>LINER LOW DENSITY INDUSTRIAL BLACK 36C58 1.7M 50 COUNT 60 GALLON</t>
  </si>
  <si>
    <t>LINER LOW DENSITY INDUSTRIAL BLACK 38X58 1.7M 50 COUNT 60 GALLON</t>
  </si>
  <si>
    <t>PROCELL BATTERIES</t>
  </si>
  <si>
    <t>BATTERY DURACELL PROCELL SIZE D PC1300 72 CASE 1 COUNT</t>
  </si>
  <si>
    <t>BATTERY DURACELL PROCELL PC1400 C 72 CASE 1 COUNT</t>
  </si>
  <si>
    <t>BATTERY DURACELL PROCELL PC1500 AA 144 CASE 1 COUNT</t>
  </si>
  <si>
    <t>BATTERY DURACELL PROCELL PC1604 9V 72 CASE 1 COUNT</t>
  </si>
  <si>
    <t>BATTERY DURACELL PROCELL PC2400 AAA 144 CASE 1 COUNT</t>
  </si>
  <si>
    <t>PROCTER &amp; GAMBLE NON-FOODS</t>
  </si>
  <si>
    <t>CLEANER DCT HEAVY DUTY DEGREASER 4 COUNT 1 GALLON</t>
  </si>
  <si>
    <t>CLEANER DCT OVEN 6 COUNT 1 QUART</t>
  </si>
  <si>
    <t>DCT CLEANER DELIMER 48 COUNT 2 OUNCE</t>
  </si>
  <si>
    <t>CLEANER STEEL POLISH 4 CASE 32 OUNCE</t>
  </si>
  <si>
    <t>CLEANER DCT. GRILL CLEANER 92 CASE 3.6 OUNCE</t>
  </si>
  <si>
    <t>CLEANER DCT HAND SANITIZER 6 COUNT 800 MILLILITER</t>
  </si>
  <si>
    <t>CLEANER DCT. HIGH TEMPERATURE GRILL CLEANER 6 CASE 32 OUNCE</t>
  </si>
  <si>
    <t>DCT. DELIMER 12 CASE 32 OUNCE</t>
  </si>
  <si>
    <t>CLEANER DIP COAT CITRI-BRITE POLISH 4 CASE 32 FLUID OUNCE</t>
  </si>
  <si>
    <t>DCT. OVEN SHIELD 6 CASE 32 OUNCE</t>
  </si>
  <si>
    <t>DETERGENT DAWN POWER DISSOLVER 10 CASE 12.8 FLUID OUNCE</t>
  </si>
  <si>
    <t>DETERGENT CASCADE 24 CARTON 20 OUNCE</t>
  </si>
  <si>
    <t>DETERGENT DAWN MANUAL REGULAR SCENT 120 CASE 1.5 FLUID OUNCE</t>
  </si>
  <si>
    <t>CLEANER SPIC&amp;SPAN LIQUID 3 BOTTLE 1 GALLON</t>
  </si>
  <si>
    <t>CLEANER SPIC&amp;SPAN WITH BLEACH ZERO PHOSPHATE 45 CASE 2.2 OUNCE</t>
  </si>
  <si>
    <t>CLEANER SPIC&amp;SPAN LIQUID PORTION PACK 45 CASE 3 FLUID OUNCE</t>
  </si>
  <si>
    <t>DETERGENT CREAM SUDS 25 POUND</t>
  </si>
  <si>
    <t>DETERGENT CREAM SUDS 50 POUND</t>
  </si>
  <si>
    <t>DETERGENT CREAM SUDS ZERO PHOSPHATE 25 POUND</t>
  </si>
  <si>
    <t>CLEANER COMET WITH BLEACH PROFESSIONAL USE ONLY 8 CASE 32 FLUID OUNCE</t>
  </si>
  <si>
    <t>CLEANER COMET WITH BLEACH 3 CASE 1 GALLON</t>
  </si>
  <si>
    <t>DETERGENT JOY MANUAL POT &amp; PAN LEMON 5 GALLON</t>
  </si>
  <si>
    <t>PAIL</t>
  </si>
  <si>
    <t>DETERGENT JOY 3 BOTTLE 1 GALLON</t>
  </si>
  <si>
    <t>CLEANER TIDE ONE 2CUP ZERO PHOSPHATE 18 POUND</t>
  </si>
  <si>
    <t>CLEANER TIDE ONE 2CUP ZERO PHOSPHATE 36 POUND</t>
  </si>
  <si>
    <t>CLEANER TIDE ZERO PHOSPHATE 100 PACKET 1.5 OUNCE</t>
  </si>
  <si>
    <t>SANITIZER CLEAN QUICK CHLORINE 3 CASE 10 POUND</t>
  </si>
  <si>
    <t>SANITIZER CLEAN QUICK CHLORINE POWDER 100 CASE 1 OUNCE</t>
  </si>
  <si>
    <t>DETERGENT DAWN ORIGINAL 5 GALLON</t>
  </si>
  <si>
    <t>DETERGENT DAWN ORIGINAL 3 BOTTLE 1 GALLON</t>
  </si>
  <si>
    <t>DETERGENT DAWN LEMON 5 GALLON</t>
  </si>
  <si>
    <t>DETERGENT DAWN LEMON 3 BOTTLE 1 GALLON</t>
  </si>
  <si>
    <t>CLEANER MR.CLEAN FLOOR CLEANER 3 CASE 1 GALLON</t>
  </si>
  <si>
    <t>SOAP LIQUID SAFEGUARD 2 BOTTLE 1 GALLON</t>
  </si>
  <si>
    <t>SANITIZER FEBREZE DEODORIZING DEEP PENETRATING 8 CASE 32 FLUID OUNCE</t>
  </si>
  <si>
    <t>SOAP SAFEGUARD LIQUID HAND 6 BAG 27.05 FLUID OUNCE</t>
  </si>
  <si>
    <t>DEGREASER DAWN HEAVY DUTY 3 CASE 1 GALLON</t>
  </si>
  <si>
    <t>DEGREASER DAWN HEAVY DUTY 5 CASE 64 FLUID OUNCE</t>
  </si>
  <si>
    <t>DEGREASER DAWN HEAVY DUTY 6 CASE 32 FLUID OUNCE</t>
  </si>
  <si>
    <t>MOUTHWASH SCOPE 180 COUNT 1.5 OUNCE</t>
  </si>
  <si>
    <t>CLEANER BROAD RANGE SANITIZER WITH TEST STRIPS 3 CASE 1 GALLON</t>
  </si>
  <si>
    <t>SPIC &amp; SPAN 3-N-1 SPRAY 15X 3 CASE 22 OUNCE</t>
  </si>
  <si>
    <t>FLOOR DAWN HEAVY DUTY 3 CASE 1 GALLON</t>
  </si>
  <si>
    <t>TIDE LAUNDRY LIQUID HIGH EFFICIENCY DBL STRENGTH 4 BOTTLE 100 FLUID OUNCE</t>
  </si>
  <si>
    <t>GAIN LAUNDRY DETERGENT LIQUID DBL STRENGTH ORIGINAL 32 6 CASE 50 FLUID OUNCE</t>
  </si>
  <si>
    <t>TIDE LAUNDRY DETERGENT LIQUID DBL STRENGTH ORIGINAL 32 6 CASE 50 FLUID OUNCE</t>
  </si>
  <si>
    <t>TIDE LAUNDRY DETERGENT LIQUID DBL STRENGTH ORIGINAL 64 4 CASE 100 FLUID OUNCE</t>
  </si>
  <si>
    <t>BOUNTY PAPER TOWEL BASIC 52 COUNT 30 CASE 1 COUNT</t>
  </si>
  <si>
    <t>BOUNTY PAPER TOWEL BASIC 52 COUNT 12 COUNT</t>
  </si>
  <si>
    <t>CLEANER SPIC &amp; SPAN ALL PURPOSE SPRAY READY TO USE 8 COUNT 32 FLUID OUNCE</t>
  </si>
  <si>
    <t>CLEANER SPIC &amp; SPAN ALL PURPOSE SPRAY REFILL 3 COUNT 1 GALLON</t>
  </si>
  <si>
    <t>DETERGENT DAWN POT/PAN CLOSED LOOP 3 CASE 1 GALLON</t>
  </si>
  <si>
    <t>COMET CLEANER WITH BLEACH CLOSED LOOP 3 CASE 1 GALLON</t>
  </si>
  <si>
    <t>CLEANER SPIC&amp;SPAN ZERO PHOSPHATE 12 CARTON 27 OUNCE</t>
  </si>
  <si>
    <t>SPIC &amp; SPAN ALL PURPOSE SPRAY CONCENTRATE CLOSED LOOP 2 CASE 1 GALLON</t>
  </si>
  <si>
    <t>CLEANER SPIC &amp; SPAN ALL PURPOSE SPRAY CONCENTRATE 2 COUNT 1 GALLON</t>
  </si>
  <si>
    <t>COMET POWDER CLEANSER DEODORIZING CAN 24 CASE 21 OUNCE</t>
  </si>
  <si>
    <t>DETERGENT CASCADE DISHWASHER POWDER 6 COUNT 85 OUNCE</t>
  </si>
  <si>
    <t>DETERGENT DAWN POWER WASH 3 CASE 1 GALLON</t>
  </si>
  <si>
    <t>DAWN REGULAR SCENT 8 CASE 38 FLUID OUNCE</t>
  </si>
  <si>
    <t>DAWN LEMON SCENT 8 CASE 38 FLUID OUNCE</t>
  </si>
  <si>
    <t>JOY LEMON SCENT 8 CASE 38 FLUID OUNCE</t>
  </si>
  <si>
    <t>SAFEGUARD HAND SOAP ANTIBACTERIAL E2 4 CASE 40.5 FLUID OUNCE</t>
  </si>
  <si>
    <t>SAFEGUARD HAND SOAP ANTIBACTERIAL 4 CASE 40.5 FLUID OUNCE</t>
  </si>
  <si>
    <t>TIDE POWDER 4 LOAD 14 CASE 5.7 OUNCE</t>
  </si>
  <si>
    <t>TIDE POWDER WITH BLEACH 3 LOAD 14 CASE 5.5 OUNCE</t>
  </si>
  <si>
    <t>DAWN DEGREASER ULTRA HEAVY DUTY CLOSED LOOP 2 CASE 1 GALLON</t>
  </si>
  <si>
    <t>COMET CREME DEODORIZING CLEANSER 9 CASE 32 OUNCE</t>
  </si>
  <si>
    <t>DAWN DISH POWER DESOLVER LIQUID 6 CASE 32 OUNCE</t>
  </si>
  <si>
    <t>BOUNCE DRYER SHEET OUTDOOR FRESH 6 CASE 160 COUNT</t>
  </si>
  <si>
    <t>MR. CLEAN MAGIC ERASER REGULAR 6 CASE 4 COUNT</t>
  </si>
  <si>
    <t>REGAL WARE  INC</t>
  </si>
  <si>
    <t>WOODEN SPOON 14 BIRCHWOOD 36 COUNT</t>
  </si>
  <si>
    <t>WOODEN SPOON 18 BIRCHWOOD 36 COUNT</t>
  </si>
  <si>
    <t>WOODEN SPOON 24 BIRDS BEAK 24 COUNT</t>
  </si>
  <si>
    <t>GRATE 24.5X16.5 6 COUNT</t>
  </si>
  <si>
    <t>PEELER POTATO STAINLESS STEEL BLACK 6 COUNT</t>
  </si>
  <si>
    <t>CAN OPENER PORTABLE 6 COUNT</t>
  </si>
  <si>
    <t>PEELER SWIVEL BLACK 6 COUNT</t>
  </si>
  <si>
    <t>PEELER Y. BLACK 6 COUNT</t>
  </si>
  <si>
    <t>CHEESE GRATER BLACK 6 COUNT</t>
  </si>
  <si>
    <t>COFFEE MAKER ALUMINUM 101 CUP 1 COUNT</t>
  </si>
  <si>
    <t>COFFEE MAKER ALUMINUM 55 CUP 1 COUNT</t>
  </si>
  <si>
    <t>URN COFFEE 12 101 CUP BLACK 1 COUNT</t>
  </si>
  <si>
    <t>URN COFFEE 55 CUP BLACK 1 COUNT</t>
  </si>
  <si>
    <t>COFFEE MAKER 30 CUP 3 PRONG PLUG 1 COUNT</t>
  </si>
  <si>
    <t>CAN OPENER CRANK TURN. HANDLE 6 COUNT</t>
  </si>
  <si>
    <t>CORKSCREW COMPACT BLACK 6 COUNT</t>
  </si>
  <si>
    <t>LIME SQUEEZER ALUMINUM POWDERED COATED 6 COUNT</t>
  </si>
  <si>
    <t>LEMON SQUEEZER ALUMINUM YELLOW POWDER COATED 6 COUNT</t>
  </si>
  <si>
    <t>ORANGE SQUEEZER ORANGE POWDER COATED ALUMINUM 4 COUNT</t>
  </si>
  <si>
    <t>SPRINGFORM PAN ALUMINUM 8 INCH 6 COUNT</t>
  </si>
  <si>
    <t>SPRINGFORM PAN ALUMINUM 10 INCH 6 COUNT</t>
  </si>
  <si>
    <t>SPRINGFORM PAN ALUMINUM 12 INCH 6 COUNT</t>
  </si>
  <si>
    <t>BREAD PAN OPEN TOP 9X4.5 12 COUNT</t>
  </si>
  <si>
    <t>GRATE FRYER 17X25 STAINLESS STEEL 6 COUNT</t>
  </si>
  <si>
    <t>MUFFIN PAN 12 CUP LARGE CROWN 6 COUNT</t>
  </si>
  <si>
    <t>PULLMAN PAN SINGLE 13X4 12 COUNT</t>
  </si>
  <si>
    <t>PULLMAN PAN SINGLE 16X4 12 COUNT</t>
  </si>
  <si>
    <t>PULLMAN PAN COVER 12 COUNT</t>
  </si>
  <si>
    <t>BAKING SCREEN GLAZED 12 GAUGE 12 COUNT</t>
  </si>
  <si>
    <t>MINI MUFFIN PAN 24 CUP 6 COUNT</t>
  </si>
  <si>
    <t>MUFFIN PAN JUMBO 24 CUP 3 COUNT</t>
  </si>
  <si>
    <t>CUPCAKE PAN 24 CUP 6 COUNT</t>
  </si>
  <si>
    <t>BREAD PAN SET GLAZED ALUMINUM 6 COUNT</t>
  </si>
  <si>
    <t>AIR POT STAINLESS STEEL 2.5 LITER 1 COUNT</t>
  </si>
  <si>
    <t>AIR POT STAINLESS STEEL 3.0 LITER 1 COUNT</t>
  </si>
  <si>
    <t>BAKE MAT SILICONE HALF SIZE 12 COUNT</t>
  </si>
  <si>
    <t>BAKE MAT SILICONE FULL SIZE 12 COUNT</t>
  </si>
  <si>
    <t>JUICE PRESS WHITE OLYMPUS 2 COUNT</t>
  </si>
  <si>
    <t>EGG SLICER 1 EACH</t>
  </si>
  <si>
    <t>SHELVING KIT CHROME FINISH 1 COUNT</t>
  </si>
  <si>
    <t>SHELVING KIT EPOXY GREEN COATED 1 COUNT</t>
  </si>
  <si>
    <t>SHEET PAN EXTENDER HALF SIZE ALUMINUM 6 COUNT</t>
  </si>
  <si>
    <t>SHEET PAN EXTENDER FULL SIZE ALUMINUM 6 COUNT</t>
  </si>
  <si>
    <t>SHEET PAN EXTENDER ONE FOURTH SIZE ALUMINUM 6 COUNT</t>
  </si>
  <si>
    <t>COFFEE MAKER STAINLESS STEEL 110 CUP 1 COUNT</t>
  </si>
  <si>
    <t>COFFEE MAKER STAINLESS STEEL 55 CUP 1 COUNT</t>
  </si>
  <si>
    <t>CARAFE 2 LITER STAINLESS STEEL THERMALL/VAC 1 COUNT</t>
  </si>
  <si>
    <t>CARAFE THERMAL POLISH ONE LITER 1 COUNT</t>
  </si>
  <si>
    <t>CARAFE THERMAL POLISH 1.5 STAINLESS STEEL 1 COUNT</t>
  </si>
  <si>
    <t>CARAFE THERMAL POLISH 2 LITER STAINLESS STEEL 1 COUNT</t>
  </si>
  <si>
    <t>POT AIR STAINLESS STEEL 2.5 LITER 1 COUNT</t>
  </si>
  <si>
    <t>REYNOLDS FOODS PACKAGING</t>
  </si>
  <si>
    <t>FOIL STANDARD 15X1000 1 ROLL</t>
  </si>
  <si>
    <t>FOIL STANDARD 18X500 1 ROLL</t>
  </si>
  <si>
    <t>FOIL STANDARD PREMIUM 18X1000 1 ROLL</t>
  </si>
  <si>
    <t>FOIL ALUMINUM 18X1000 METRO 1 ROLL</t>
  </si>
  <si>
    <t>FOIL HEAVY DUTY 18X500 1 ROLL</t>
  </si>
  <si>
    <t>FOIL HEAVY DUTY 18X1000 1 ROLL</t>
  </si>
  <si>
    <t>FOIL HEAVY DUTY 24X1000 1 ROLL</t>
  </si>
  <si>
    <t>FOIL PLAIN POP UP 6 CASE 500 EACH</t>
  </si>
  <si>
    <t>FOIL GOLD POP UP 12 CASE 200 COUNT</t>
  </si>
  <si>
    <t>FOIL PLAIN POPUP 12X10.75 6 CASE 500 COUNT</t>
  </si>
  <si>
    <t>FOIL 12X10.75 INTERFOLDED RECYCLED 6 CASE 500 COUNT</t>
  </si>
  <si>
    <t>WRAP GOLD STRIPE SANDWICH 5 CASE 500 EACH</t>
  </si>
  <si>
    <t>WRAP RED LAMINATED SANDWICH 5 CASE 500 EACH</t>
  </si>
  <si>
    <t>WRAP BLUE LAMINATED SANDWICH 5 CASE 500 EACH</t>
  </si>
  <si>
    <t>WRAP PLAIN LAMINATED SANDWICH 5 CASE 500 EACH</t>
  </si>
  <si>
    <t>WRAP PLAIN LAMINATED SANDWICH 14X16 2 CASE 500 EACH</t>
  </si>
  <si>
    <t>BAG CUTRITE SANDWICH WAX PAPER 6000 COUNT</t>
  </si>
  <si>
    <t>ROLL CUTRITE WAX PAPER 6 ROLL</t>
  </si>
  <si>
    <t>FILM IN DISPENSER BOX 18X1000 1 ROLL</t>
  </si>
  <si>
    <t>FILM IN DISPENSER BOX 12X3000 1 ROLL</t>
  </si>
  <si>
    <t>FILM IN DISPENSER BOX 12X2000 1 ROLL</t>
  </si>
  <si>
    <t>FILM IN DISPENSER BOX CUTTER GUARD 2000 1 ROLL</t>
  </si>
  <si>
    <t>PVC 18 CASE 2000 COUNT</t>
  </si>
  <si>
    <t>FILM IN DISPENSER BOX 18X2000 1 ROLL</t>
  </si>
  <si>
    <t>FILM CUTTER BOX EASY GLIDE SLIDE CUTTER 18X2000 1 COUNT</t>
  </si>
  <si>
    <t>FILM IN DISPENSER BOX 24X2000 1 ROLL</t>
  </si>
  <si>
    <t>BAG BROWN IN BAG 19X23.5 150 COUNT</t>
  </si>
  <si>
    <t>FILM PACER DISPENSER BOX 18X5280 1 ROLL</t>
  </si>
  <si>
    <t>BAKERS CHOICE BAKING CUP 4.875 FLUID OUNCES 10000 COUNT</t>
  </si>
  <si>
    <t>TRAY SCHOOL LUNCH PORTION CONTROL 4OZ 2500 COUNT</t>
  </si>
  <si>
    <t>BAG RCLSBL FREEZER FOOD STORAGE 200 COUNT 1 GALLON</t>
  </si>
  <si>
    <t>BAG RCLSBL FREEZER FOOD STORAGE 100 COUNT 2 GALLON</t>
  </si>
  <si>
    <t>BAG UTILITY FOOD STORAGE 2000 COUNT</t>
  </si>
  <si>
    <t>BAG RECLOSABLE FOOD STORAGE 2 GALLON 100 COUNT</t>
  </si>
  <si>
    <t>BAG RECLOSABLE PORTION BAG 500 COUNT</t>
  </si>
  <si>
    <t>BAG RCLSBL FOOD STORAGE 500 COUNT</t>
  </si>
  <si>
    <t>BAG UTILITY WHITE TIER II 500 COUNT</t>
  </si>
  <si>
    <t>BAG UTILITY WHITE TIER II 250 COUNT</t>
  </si>
  <si>
    <t>BAG UTILITY BUN TRAY COVER 200 EACH</t>
  </si>
  <si>
    <t>BAKING CUP 175MM 3000 COUNT</t>
  </si>
  <si>
    <t>TRAY PAPER HOT DOG MEDIUM WEIGHT 3000 COUNT</t>
  </si>
  <si>
    <t>HINGED SANDWICH WEDGE 255 COUNT</t>
  </si>
  <si>
    <t>SAN JAMAR</t>
  </si>
  <si>
    <t>TRAY CONDIMENTS BAR 6 PINTS 1 COUNT</t>
  </si>
  <si>
    <t>CATCHER BOTTLE CAP 1 COUNT</t>
  </si>
  <si>
    <t>RACK SPEED STAINLESS STEEL 8 QUART 1 COUNT</t>
  </si>
  <si>
    <t>RACK SPEED STAINLESS STEEL 10 QUART 1 COUNT</t>
  </si>
  <si>
    <t>PACK ICE.REFREEZABLE 6EA 1 SET</t>
  </si>
  <si>
    <t>DISPENSER CONDIMENTS TRAY 3 QUART 1 COUNT</t>
  </si>
  <si>
    <t>CONTAINER DOME GARNISH CENTER 5 COMPARTMENT 1 COUNT</t>
  </si>
  <si>
    <t>CONTAINER GARNISH DOME 6 COMPARTMENT 1 COUNT</t>
  </si>
  <si>
    <t>HOLDER CONDIMENT 4 COMPARTMENT 1.5 PINT 1 COUNT</t>
  </si>
  <si>
    <t>DISPENSER COUNTER MOUNT 46 OUNCE 1 COUNT</t>
  </si>
  <si>
    <t>DISPENSER CUP ONE SIZE FITS ALL EASY FIT 1 COUNT</t>
  </si>
  <si>
    <t>DISPENSER CUP 6 THRU 12 OUNCE 1 COUNT</t>
  </si>
  <si>
    <t>DISPENSER CUP 12 THRU 24 OUNCE 1 COUNT</t>
  </si>
  <si>
    <t>DISPENSER CUP 32 THRU 46 OUNCE 1 COUNT</t>
  </si>
  <si>
    <t>DISPENSER KIT WITH ROTATING STAND 1 COUNT</t>
  </si>
  <si>
    <t>DISPENSER FOAM CUP 12 24 OUNCE 1 COUNT</t>
  </si>
  <si>
    <t>CUTTING BOARD KATCHALL WHITE 1 COUNT</t>
  </si>
  <si>
    <t>CUTTING BOARD KATCHALL 12X18X1/2 1 SET</t>
  </si>
  <si>
    <t>CUTTING BOARD KATCHALL RED 1 COUNT</t>
  </si>
  <si>
    <t>CUTTING BOARD KATCHALL 15X20 SET 1 SET</t>
  </si>
  <si>
    <t>CUTTING BOARD BLUE 18X24X.5 1 COUNT</t>
  </si>
  <si>
    <t>CUTTING BOARD GREEN 18X24X.5 1 COUNT</t>
  </si>
  <si>
    <t>CUTTING BOARD RED 18X24X.5 1 COUNT</t>
  </si>
  <si>
    <t>CUTTING BOARD WHITE 18X24X.5 1 COUNT</t>
  </si>
  <si>
    <t>CUTTING BOARD YELLOW 18X24X.5 1 COUNT</t>
  </si>
  <si>
    <t>CUTTING BOARD KATCHALL 18X24 SET 1 SET</t>
  </si>
  <si>
    <t>BOARD CUTTING MATE 16X22 1 COUNT</t>
  </si>
  <si>
    <t>RACK CHECK ALUMINUM 24 1 COUNT</t>
  </si>
  <si>
    <t>RACK CHECK ALUMINUM 36 1 COUNT</t>
  </si>
  <si>
    <t>DISPENSER NAPKIN HOLDS 300 6.5 1 COUNT</t>
  </si>
  <si>
    <t>DISPENSER ICE. CREAM CONE 1 COUNT</t>
  </si>
  <si>
    <t>RETRIEVER KATCHALL ROUND 32GA 1 COUNT</t>
  </si>
  <si>
    <t>RETRIEVER KATCHALL 1 COUNT</t>
  </si>
  <si>
    <t>RETRIEVER KATCHALL ROUND 44GA 1 COUNT</t>
  </si>
  <si>
    <t>BLOCK KATCHALL BABY SCRAP 1 COUNT</t>
  </si>
  <si>
    <t>BOX CUTTER SAFETY KNIFE 3 COUNT</t>
  </si>
  <si>
    <t>KLEEN PLUG 5 IN A BLISTER PACK 1 COUNT</t>
  </si>
  <si>
    <t>STAND BOARD CUTTING KATCHALL 1 COUNT</t>
  </si>
  <si>
    <t>MAT KATCHALL BLACK 1 COUNT</t>
  </si>
  <si>
    <t>MAT KATCHALL RED 1 COUNT</t>
  </si>
  <si>
    <t>PAIL KATCHALL KLEEN 6QT GREEN 1 COUNT</t>
  </si>
  <si>
    <t>PAIL KATCHALL KLEEN 6QT RED 1 COUNT</t>
  </si>
  <si>
    <t>PAIL SANITIZER 8QT GREEN 1 EACH</t>
  </si>
  <si>
    <t>PAIL SANITIZER 8QT RED 1 COUNT</t>
  </si>
  <si>
    <t>PAIL KLEEN CADDY WITH SPRAY BOTTLE 1 COUNT</t>
  </si>
  <si>
    <t>PAIL KATCHALL KLEEN 3QT GREEN 1 COUNT</t>
  </si>
  <si>
    <t>PAIL KATCHALL KLEEN 3QT RED 1 COUNT</t>
  </si>
  <si>
    <t>OVEN MITT COOLING TEK. 1 COUNT</t>
  </si>
  <si>
    <t>DISPENSER 3 LID ORGANIZER 1 COUNT</t>
  </si>
  <si>
    <t>DISPENSER LID 6 THRU 24 OUNCE 1 COUNT</t>
  </si>
  <si>
    <t>BANDAGES STRIPS 7/8X3 6 CASE 50 COUNT</t>
  </si>
  <si>
    <t>BANDAGE COMBO PAK. MANI-KARE 6 COUNT</t>
  </si>
  <si>
    <t>PUMP ECONOMY ONE OUNCE 2 COUNT</t>
  </si>
  <si>
    <t>PUMP ULTRA ONE OUNCE 2 COUNT</t>
  </si>
  <si>
    <t>BOX PUMP. W/LINER ONE GALLON 1 COUNT</t>
  </si>
  <si>
    <t>BOX PUMP. W/LINER #10 CAN 1 COUNT</t>
  </si>
  <si>
    <t>LINER SHELF POLYLINER CLEAR 2X10 1 ROLL</t>
  </si>
  <si>
    <t>DISPENSER TOILET TISSUE 9 ROLL 1 COUNT</t>
  </si>
  <si>
    <t>RAPI KOOL. PLUS 128 OUNCE 1 COUNT</t>
  </si>
  <si>
    <t>RAPIKOOL PLUS 64 OUNCE 1 COUNT</t>
  </si>
  <si>
    <t>PIN ROLLING KATCHALL 15 1 COUNT</t>
  </si>
  <si>
    <t>DISPENSER BULK SOAP 30 OUNCE BLACK 1 EACH</t>
  </si>
  <si>
    <t>DISPENSER SOAP OCEAN BLACK PEARL BULK 1 EACH</t>
  </si>
  <si>
    <t>CADDY KATCHALL SAFE TUB SCOOP BLUE 1 COUNT</t>
  </si>
  <si>
    <t>SYSTEM GUARDIAN WITH SAF-T SCOOP 1 COUNT</t>
  </si>
  <si>
    <t>SCOOP SAF-T 1 COUNT</t>
  </si>
  <si>
    <t>TOTE KATCHALL SAFE TUB ICE. 1 COUNT</t>
  </si>
  <si>
    <t>SAFETY ICE TOTE SHORTY 5 GALLON 1 EACH</t>
  </si>
  <si>
    <t>SCOOP GUARDIAN SYSTEM 12/16OZ 1 COUNT</t>
  </si>
  <si>
    <t>SCOOP GUARDIAN SYSTEM 1 COUNT</t>
  </si>
  <si>
    <t>SCOOP ONLY SAFE-T-GUARD 64 86 OUNCE 1 COUNT</t>
  </si>
  <si>
    <t>SAFETY WRAP STATION 1 EACH</t>
  </si>
  <si>
    <t>DISPENSER TOWEL 8 INCH 1 COUNT</t>
  </si>
  <si>
    <t>OCEANS LEVER ROLL TOWEL BLACK 1 COUNT</t>
  </si>
  <si>
    <t>DISPENSER TOWEL ULTRA FOLD 1 COUNT</t>
  </si>
  <si>
    <t>THERMOMETER STICK 160 DEGREE BLACK 250 1 COUNT</t>
  </si>
  <si>
    <t>THERMOMETER STICK 170DG BROWN 250 1 COUNT</t>
  </si>
  <si>
    <t>LINER KATCHALL CLEAR 2'X40' 1 COUNT</t>
  </si>
  <si>
    <t>LINER KATCHALL BLACK 2'X 40' 1 COUNT</t>
  </si>
  <si>
    <t>SANI PROFESSIONAL/NICE PAK</t>
  </si>
  <si>
    <t>BABY WIPES PUDGIES SCENTED 12 CASE 80 COUNT</t>
  </si>
  <si>
    <t>WIPES TABLE TURNERS 12 CASE 80 COUNT</t>
  </si>
  <si>
    <t>BABY WIPES UNSCENTED PUDGIES 12 CASE 80 COUNT</t>
  </si>
  <si>
    <t>HAND WIPES INDIVIDUALLY PACKAGED BOXED 10 CASE 100 COUNT</t>
  </si>
  <si>
    <t>HAND WIPES INDIVIDUALLY PACKAGED POLYBAGGED 10 CASE 100 COUNT</t>
  </si>
  <si>
    <t>SANI-HANDS PACKETS BOXED 10 CASE 100 COUNT</t>
  </si>
  <si>
    <t>TABLE TURNER NO RINSE SANITIZING WIPES 9 CASE 100 COUNT</t>
  </si>
  <si>
    <t>SANI-HANDS 300 CT. EXTRA LARGE CANISTER 6 CASE 300 COUNT</t>
  </si>
  <si>
    <t>SANITIZING WIPES HARD SURFACE EXTRA LARGE CANISTER 6 CASE 100 COUNT</t>
  </si>
  <si>
    <t>SERVING SOLUTIONS INC.</t>
  </si>
  <si>
    <t>TRAY FAST FOOD 10X14 BROWN 24 EACH</t>
  </si>
  <si>
    <t>TRAY FAST FOOD 10X14 RED 24 EACH</t>
  </si>
  <si>
    <t>TRAY FAST FOOD 10X14 BURGUNDY 24 EACH</t>
  </si>
  <si>
    <t>TRAY FAST FOOD 10X14 TEAL 24 EACH</t>
  </si>
  <si>
    <t>TRAY FAST FOOD 10X14 BLUE 24 EACH</t>
  </si>
  <si>
    <t>TRAY FAST FOOD 10X14 ORANGE 24 EACH</t>
  </si>
  <si>
    <t>TRAY FAST FOOD BROWN 12X16 24 EACH</t>
  </si>
  <si>
    <t>TRAY FAST FOOD RED 12X16 24 EACH</t>
  </si>
  <si>
    <t>TRAY FAST FOOD RED 14X18 12 EACH</t>
  </si>
  <si>
    <t>TRAY FAST FOOD BROWN 14X18 12 EACH</t>
  </si>
  <si>
    <t>SHEILA SHINE INC.</t>
  </si>
  <si>
    <t>SHEILA SHINE INC. CLEANER &amp; POLISH AEROSOL 12 CASE 10 OUNCE</t>
  </si>
  <si>
    <t>SHEILA SHINE INC. CLEANER &amp; POLISH LIQUID 4 CASE 1 GALLON</t>
  </si>
  <si>
    <t>SHEILA SHINE INC. CLEANER &amp; POLISH LIQUID 12 CASE 1 QUART</t>
  </si>
  <si>
    <t>SLI</t>
  </si>
  <si>
    <t>BULB INDOOR FLOOD 65BR30 120 VOLT 24 COUNT</t>
  </si>
  <si>
    <t>BULB INCANDESCENT LAMP 250BR40/1/CL 12 COUNT</t>
  </si>
  <si>
    <t>HEAT BULB 250 WATT R40 CLEAR AND COATED 12 COUNT</t>
  </si>
  <si>
    <t>BULB FROSTED 60W 120 VOLT 6 CASE 4 COUNT</t>
  </si>
  <si>
    <t>BULB FROSTED 75W 120 VOLT 6 CASE 4 COUNT</t>
  </si>
  <si>
    <t>BULD FROSTED 100 WATT 120 VOLT 6 CASE 4 COUNT</t>
  </si>
  <si>
    <t>BULB CLEAR HEAT 250 WATT BR40 3 COUNT</t>
  </si>
  <si>
    <t>BULB RED HEAT 250 WATT 3 COUNT</t>
  </si>
  <si>
    <t>BULB 20MLS/827 10 COUNT</t>
  </si>
  <si>
    <t>BULB FLUORESCENT 34W ENERGY SAVER 6 COUNT</t>
  </si>
  <si>
    <t>FLOURSCENT ENERGY SAVER 8' F96T12CW LOW MERCURY 15 COUNT</t>
  </si>
  <si>
    <t>SPECTRUM PLASTICS  INC.</t>
  </si>
  <si>
    <t>T-SHIRT BAG WHITE THANK YOU 11.5 X 6.5 X 21.5 12.5. MICRONS 1000 COUNT</t>
  </si>
  <si>
    <t>BAG T-SHIRT WHITE NO PRINT 11.5 X 6.5 X 21.5 1000 COUNT</t>
  </si>
  <si>
    <t>SACK TUB 10X5X19 11 MICRONS 2000 COUNT</t>
  </si>
  <si>
    <t>SACK 15X7X26 15 MICRONS WHITE PLAIN 1000 COUNT</t>
  </si>
  <si>
    <t>BAG T-SHIRT WHITE THANK YOU 10 MICRONS 11.5 X 6.5 X 21.5 975 COUNT</t>
  </si>
  <si>
    <t>T-SHIRT BAG 11.5X6.5X21 THANK YOU 17 MICRONS 720 COUNT</t>
  </si>
  <si>
    <t>BAG T-SACK THANK YOU 11.5X6.5X21 8M 1000 COUNT</t>
  </si>
  <si>
    <t>BAG FOOD PORTION 6X3X12 1000 COUNT</t>
  </si>
  <si>
    <t>RACK 1/6 BBL. PLASTIC BASE STEEL 1 COUNT</t>
  </si>
  <si>
    <t>CAN LINER 24X24 6 MICRONS 7/10G N 50 BAG 20 ROLL</t>
  </si>
  <si>
    <t>CAN LINER 24X33 6M 12/16G N 50 BAG 20 ROLL</t>
  </si>
  <si>
    <t>CAN LINER 24X33 8M N 12/16G 50 BAG 20 ROLL</t>
  </si>
  <si>
    <t>CAN LINER 30X37 10M N 20/30 25 BAG 20 ROLL</t>
  </si>
  <si>
    <t>CAN LINER 33X40 11 MICRON N 33 GALLON 25 BAG 20 ROLL</t>
  </si>
  <si>
    <t>CAN LINER 33X40 16M N 33 GALLON 25 BAG 10 ROLL</t>
  </si>
  <si>
    <t>CAN LINER 36X60 17 MICRONS N 55 GALLON 25 BAG 8 ROLL</t>
  </si>
  <si>
    <t>CAN LINER 38X60 14M N 60 GALLON 25 BAG 8 ROLL</t>
  </si>
  <si>
    <t>CAN LINER 38X60 17 MICRONS N 60GA 25 BAG 8 ROLL</t>
  </si>
  <si>
    <t>CAN LINER 40X48 12M N 40-45 GALLON 25 BAG 10 ROLL</t>
  </si>
  <si>
    <t>CAN LINER 40X48 16M N 40-45 GALLON 25 BAG 10 ROLL</t>
  </si>
  <si>
    <t>CAN LINER 43X48 16M N GLUTTON 25 BAG 8 ROLL</t>
  </si>
  <si>
    <t>STERNO GROUP LLC.</t>
  </si>
  <si>
    <t>HOLDER AMBER BEADED MOSAIC 6 EACH</t>
  </si>
  <si>
    <t>FUEL LAMP LIQUID WAX PLASTIC 4 COUNT 1 GALLON</t>
  </si>
  <si>
    <t>FUEL LIQUID WAX PLASTIC REFILL 2 COUNT 2.5 GALLON</t>
  </si>
  <si>
    <t>CANDLE LOW BOY W/NET RED 15 EACH</t>
  </si>
  <si>
    <t>CANDLE AMBER LOWBOY 12 EACH</t>
  </si>
  <si>
    <t>CANDLE FROST LOWBOY 12 EACH</t>
  </si>
  <si>
    <t>CANDLE RED LOWBOY 12 EACH</t>
  </si>
  <si>
    <t>CANDLE GLASS CLEAR VENETIAN 12 EACH</t>
  </si>
  <si>
    <t>CANDLE GLASS AMBER VENETIAN 12 EACH</t>
  </si>
  <si>
    <t>CANDLE GLASS BLUE VENETIAN 12 EACH</t>
  </si>
  <si>
    <t>CANDLE GLASS GREEN VENETIAN 12 EACH</t>
  </si>
  <si>
    <t>CANDLE GLASS RED VENETIAN 12 EACH</t>
  </si>
  <si>
    <t>CANDLE GLASS FROST VENETIAN 12 EACH</t>
  </si>
  <si>
    <t>CANDLE SPECIAL ORDER LAMP 5 INCH 6 EACH</t>
  </si>
  <si>
    <t>CANDLE TEA LITE HIGHEST 10 CASE 50 EACH</t>
  </si>
  <si>
    <t>CANDLE FOOD WARMER 8 HOUR WHITE 6 CASE 72 EACH</t>
  </si>
  <si>
    <t>CANDLE FOOD WARMER VOTIVE 10 HOUR 4 CASE 72 EACH</t>
  </si>
  <si>
    <t>CANDLE FOOD WARMER 10 HOUR 3GR 6 COUNT</t>
  </si>
  <si>
    <t>WARMER CANDLE FOOD 15H 2 CASE 72 EACH</t>
  </si>
  <si>
    <t>CANDLE WHITE VOTIVE 15 HOUR TAPERED 4 CASE 72 EACH</t>
  </si>
  <si>
    <t>CANDLE GLASS CLEAR DOME LID AMBRA 48 EACH</t>
  </si>
  <si>
    <t>CANDLE GLASS CLEAR DOME LID AMBRA 8HR 48 EACH</t>
  </si>
  <si>
    <t>CANDLE GLASS AMBRIA FROSTED 48 EACH</t>
  </si>
  <si>
    <t>CANDLE 24CT BIRTHDAY ASSORTED SPIRAL 12 EACH</t>
  </si>
  <si>
    <t>CANDLE BIRTHDAY PLAIN INDIVIDUALLY WRAPPED 12 CASE 24 EACH</t>
  </si>
  <si>
    <t>12+   24    EA</t>
  </si>
  <si>
    <t>CANDLE 10 INCH TAPERED WHITE INDIVIDUALLY WRAPPED 1 DOZEN</t>
  </si>
  <si>
    <t>CANDLE 12 INCH TAPERED RED INDIVIDUALLY WRAPPED 1 DOZEN</t>
  </si>
  <si>
    <t>CANDLE 12 INCH TAPERED WHITE INDIVIDUALLY WRAPPED 1 DOZEN</t>
  </si>
  <si>
    <t>CANDLE 15 TAPERED WHITE INDIVIDUALLY WRAPPED 1 DOZEN</t>
  </si>
  <si>
    <t>WAX CARTRIDGE 8HR LIQUID 180 EACH</t>
  </si>
  <si>
    <t>WAX CARTRIDGE 12 HOUR AMBRIA LIQUID 144 EACH</t>
  </si>
  <si>
    <t>WAX LIQUID CARTRIDGE 18 HOUR 72 EACH</t>
  </si>
  <si>
    <t>FUEL CARTRIDGE 1.38X5.75 WHITE 36 EACH</t>
  </si>
  <si>
    <t>LIQUID WAX CANDLE 36 HOUR CARTRIDGE PLASTIC 36 EACH</t>
  </si>
  <si>
    <t>FUEL LAMP LIQUID WAX 40HR 36 EACH</t>
  </si>
  <si>
    <t>LIGHTER BUTANE PLASTIC RED WHITE 12 EACH</t>
  </si>
  <si>
    <t>FUEL HANDI FUEL CANNED HEAT 144 COUNT 3 OUNCE</t>
  </si>
  <si>
    <t>FUEL HANDI FUEL CANNED HEAT METHANOL GALLON 4 CASE 1 GALLON</t>
  </si>
  <si>
    <t>FUEL HANDI FUEL CANNED HEAT METHANOL TWO HOURS 72 COUNT 7 OUNCE</t>
  </si>
  <si>
    <t>FUEL HANDY WICK 2 HOUR 24 EACH</t>
  </si>
  <si>
    <t>FUEL HANDY WICK 4 HOUR 24 EACH</t>
  </si>
  <si>
    <t>FUEL HANDY WICK 6 HOUR 24 EACH</t>
  </si>
  <si>
    <t>QUICK FLAME GEL CHAFING FUEL METHANOL UP TO 2 HOUR BURN 72 EACH</t>
  </si>
  <si>
    <t>QUICK FLAME FIRE WICK CHAFING FUEL 24 EACH</t>
  </si>
  <si>
    <t>FUEL STERNO CANNED HEAT SIX HOURS WICK 24 COUNT 8.6 OUNCE</t>
  </si>
  <si>
    <t>FUEL STERNO CANNED HEAT 144 COUNT 2.6 OUNCE</t>
  </si>
  <si>
    <t>FUEL STERNO CANNED HEAT ETHANOL TWO HOURS 72 COUNT 7 OUNCE</t>
  </si>
  <si>
    <t>FUEL STERNO CANNED HEAT 4 COUNT 1 GALLON</t>
  </si>
  <si>
    <t>GEL STERNO 2 HOUR 12 EACH</t>
  </si>
  <si>
    <t>FUEL PERFORMANCE PLUS 6 HOUR WICK 24 EACH</t>
  </si>
  <si>
    <t>FUEL STERNO CANNED HEAT TWO HOURS WICK 24 COUNT 3 OUNCE</t>
  </si>
  <si>
    <t>FUEL STERNO STEM WICKED 6 HOUR 6 CASE 4 EACH</t>
  </si>
  <si>
    <t>FUEL STERNO CANNED HEAT FOUR HOUR TWIST CAP 24 COUNT 5 OUNCE</t>
  </si>
  <si>
    <t>STERNO BRAND 6 HOUR TWIST CAP WICK CHAFING FUEL 12 EACH</t>
  </si>
  <si>
    <t>FUEL STERNO CANNED HEAT 4 HOUR HOT SPOT 24 EACH</t>
  </si>
  <si>
    <t>FUEL STERNO HOT.SPOT. 4 HOUR 4 CASE 6 EACH</t>
  </si>
  <si>
    <t>STERNO BRAND FUEL CHAFING HOT SPOT 24 EACH</t>
  </si>
  <si>
    <t>FUEL BUTANE CARTRIDGE 12 8OZ 12 CASE 1 EACH</t>
  </si>
  <si>
    <t>TORCH STERNO PROFESSIONAL CULINARY 1 EACH</t>
  </si>
  <si>
    <t>STOVE STERNO BUTANE ACTION STATION 1 EACH</t>
  </si>
  <si>
    <t>STERNO CULINARY JET BUTANE 1 COUNT</t>
  </si>
  <si>
    <t>STERNO POP UP CHAFER SET 4 EACH</t>
  </si>
  <si>
    <t>SYRACUSE CHINA / DIV. OF LIBBEY</t>
  </si>
  <si>
    <t>CANTINA CARVED BLUEBERRY PLATTER 6 COUNT</t>
  </si>
  <si>
    <t>CANTINA CARVED BLUEBERRY PLATE 7.25 1 DOZEN</t>
  </si>
  <si>
    <t>CANTINA CARVED BLUEBERRY PLATTER 1 DOZEN</t>
  </si>
  <si>
    <t>CANTINA CARVED BLUEBERRY PLATE 9 1 DOZEN</t>
  </si>
  <si>
    <t>CANTINA CARVED SAFFRON PLATTER 6 COUNT</t>
  </si>
  <si>
    <t>CANTINA CARVED SAFFRON PLATE 7.25 1 DOZEN</t>
  </si>
  <si>
    <t>CANTINA CARVED SAFFRON PLATTER 1 DOZEN</t>
  </si>
  <si>
    <t>CANTINA CARVED SAFFRON PLATE 9 1 DOZEN</t>
  </si>
  <si>
    <t>CANTINA CARVED CAYENNE PLATTER 6 COUNT</t>
  </si>
  <si>
    <t>CANTINA CARVED CAYENNE PLATE 7.25 1 DOZEN</t>
  </si>
  <si>
    <t>CANTINA CARVED CAYENNE PLATTER 1 DOZEN</t>
  </si>
  <si>
    <t>CANTINA CARVED CAYENNE PLATE 9 1 DOZEN</t>
  </si>
  <si>
    <t>CANTINA CARVED SAGE PLATTER 6 COUNT</t>
  </si>
  <si>
    <t>CANTINA CARVED SAGE PLATE 7.25 1 DOZEN</t>
  </si>
  <si>
    <t>CANTINA CARVED SAGE PLATTER 1 DOZEN</t>
  </si>
  <si>
    <t>CANTINA CARVED SAGE PLATE 9 1 DOZEN</t>
  </si>
  <si>
    <t>SLENDA PLATE 6.25 3 DOZEN</t>
  </si>
  <si>
    <t>SLENDA FRUIT 5 INCH 3 DOZEN</t>
  </si>
  <si>
    <t>REFLECTIONS PLATE 10 7/8 1 DOZEN</t>
  </si>
  <si>
    <t>REFLECTIONS PLATE 7 5/8 3 DOZEN</t>
  </si>
  <si>
    <t>REFLECTIONS PLATE 6 5/8 3 DOZEN</t>
  </si>
  <si>
    <t>REFLECTIONS RIM DEEP SOUP 9 3/8 1 DOZEN</t>
  </si>
  <si>
    <t>REFLECTIONS TEA CUPS 8 OUNCE 3 DOZEN</t>
  </si>
  <si>
    <t>REFLECTIONS SAUCER 5 7/8 3 DOZEN</t>
  </si>
  <si>
    <t>REFLECTIONS BOUILLON 9 OUNCE 3 DOZEN</t>
  </si>
  <si>
    <t>REFLECTIONS TALL MUG 12 1/2 OUNCE 2 DOZEN</t>
  </si>
  <si>
    <t>REFLECTIONS FRUIT 4 5/8 3 DOZEN</t>
  </si>
  <si>
    <t>CASABLANCA MEDIUM POT PIE 2 DOZEN</t>
  </si>
  <si>
    <t>CASABLANCA SMALL WELSH RAREBIT 2 DOZEN</t>
  </si>
  <si>
    <t>CASCADE MUG 8.5 OUNCE 3 DOZEN</t>
  </si>
  <si>
    <t>CASCADE GRAPEFRUIT 6 3/8 10OZ 3 DOZEN</t>
  </si>
  <si>
    <t>CASCADE UNHANDLED BOUILLON 7 OUNCE 3 DOZEN</t>
  </si>
  <si>
    <t>CASCADE TALL TEA CUPS 7 OUNCE 3 DOZEN</t>
  </si>
  <si>
    <t>CASCADE FRUIT 5 INCH 3 OUNCE 3 DOZEN</t>
  </si>
  <si>
    <t>CASCADE PLATE 6.25 3 DOZEN</t>
  </si>
  <si>
    <t>CASCADE PLATE 7.25 3 DOZEN</t>
  </si>
  <si>
    <t>CASCADE PLATE 9 1 DOZEN</t>
  </si>
  <si>
    <t>CASCADE PLATE 10 5/8 1 DOZEN</t>
  </si>
  <si>
    <t>CASCADE RIM DEEP SOUP 9 14 OUNCE 1 DOZEN</t>
  </si>
  <si>
    <t>CASCADE TEA SAUCER 5 3/4 INCHES 3 DOZEN</t>
  </si>
  <si>
    <t>CAFE ROYAL UNHANDLED BOUILLON 3 DOZEN</t>
  </si>
  <si>
    <t>CAFE ROYAL TALL TEA CUPS 3 DOZEN</t>
  </si>
  <si>
    <t>CAFE ROYAL TEA SAUCER 3 DOZEN</t>
  </si>
  <si>
    <t>CAFE ROYAL PLATE 1 DOZEN</t>
  </si>
  <si>
    <t>CAFE ROYAL PLATE 6 3/8 3 DOZEN</t>
  </si>
  <si>
    <t>T&amp;S BRASS &amp; BRONZE WORKS  INC.</t>
  </si>
  <si>
    <t>SPRAY FACE B.0107 GRAY 1 COUNT</t>
  </si>
  <si>
    <t>RUBBER RINGS SPRAY VALVE BLUE 107 1 COUNT</t>
  </si>
  <si>
    <t>SWIVEL NOZZLE 12 INCH 1 COUNT</t>
  </si>
  <si>
    <t>DOUBLE JOINT NOZZLE 18 1 COUNT</t>
  </si>
  <si>
    <t>HOSE 44 FLEX 1 COUNT</t>
  </si>
  <si>
    <t>SPRAY VALVE 1 COUNT</t>
  </si>
  <si>
    <t>SPRAY VALVE LOW PRESSURE 1 COUNT</t>
  </si>
  <si>
    <t>WALL BRACKET T&amp;S SPRAY UNIT 1 COUNT</t>
  </si>
  <si>
    <t>PRE-RINSE UNIT DECK MOUNT 1 COUNT</t>
  </si>
  <si>
    <t>PRE-RINSE UNIT WALL MOUNT 8 INCH 1 COUNT</t>
  </si>
  <si>
    <t>ADD ON FAUCET 6 NOZZLE LEVER HANDLE 1 COUNT</t>
  </si>
  <si>
    <t>DOUBLE PANTRY FAU SINGLE HOLE 1 COUNT</t>
  </si>
  <si>
    <t>FAUCET WALL MOUNT 8 INCH CTR.12 NOZZLE 1 COUNT</t>
  </si>
  <si>
    <t>REPAIR KIT BLUE 0107 1 COUNT</t>
  </si>
  <si>
    <t>FAUCET WALL MOUNT 8 INCH CTR. 10 NOZZLE 1 COUNT</t>
  </si>
  <si>
    <t>GLASS FILLER PUSH TYPE 1 COUNT</t>
  </si>
  <si>
    <t>REPAIR KIT GLASS FILLER 1 COUNT</t>
  </si>
  <si>
    <t>REPAIR KIT GLASS FILLER NEW STYLE 1 COUNT</t>
  </si>
  <si>
    <t>BRUSHES ATTACHMENT B0107 1 COUNT</t>
  </si>
  <si>
    <t>KIT DELUXE GAS CONNECTOR 1/2X48 1 COUNT</t>
  </si>
  <si>
    <t>KIT DELUXE GAS CONNECTOR 3/4X48 1 COUNT</t>
  </si>
  <si>
    <t>TABLECRAFT</t>
  </si>
  <si>
    <t>LID DISPENSER NATURAL 1 DOZEN</t>
  </si>
  <si>
    <t>ORGANIZER BAR BLACK DOUBLE 1 COUNT</t>
  </si>
  <si>
    <t>STRAINER 11.75 HEAVY DUTY MESH 1 COUNT</t>
  </si>
  <si>
    <t>DISPENSER BEVERAGE 5GA BLACK TRANSLUCENT 1 COUNT</t>
  </si>
  <si>
    <t>BASKET SIDE ORDER OVAL RED 3 DOZEN</t>
  </si>
  <si>
    <t>BASKET PLATTER OVAL 9X6X2 BLACK 3 DOZEN</t>
  </si>
  <si>
    <t>BASKET PLASTIC 9.3X6X1.87 BLACK 3 DOZEN</t>
  </si>
  <si>
    <t>BASKET PLASTIC 9.3X6X1.87 BROWN 3 DOZEN</t>
  </si>
  <si>
    <t>BASKET PLASTIC 9.3X6X1.87 FOREST GREEN 3 DOZEN</t>
  </si>
  <si>
    <t>BASKET PLASTIC GREEN 9.3X6X1.875 3 DOZEN</t>
  </si>
  <si>
    <t>BASKET PLASTIC 9.3X6X1.875 RED 3 DOZEN</t>
  </si>
  <si>
    <t>BASKET PLASTIC 9.3X6X1.875 YELLOW 3 DOZEN</t>
  </si>
  <si>
    <t>BASKET SERVING ROUND RED 8X2.38 3 DOZEN</t>
  </si>
  <si>
    <t>BASKET PLASTIC 10.5X7X1.5 BLACK 3 DOZEN</t>
  </si>
  <si>
    <t>BASKET PLASTIC ROYAL BLUE 10.5X7X1 3 DOZEN</t>
  </si>
  <si>
    <t>BASKET PLASTIC 10.5X7X1.5 BROWN 3 DOZEN</t>
  </si>
  <si>
    <t>BASKET PLASTIC 10.5X7X1.5 FOREST GREEN 3 DOZEN</t>
  </si>
  <si>
    <t>BASKET PLASTIC 10.5X7X1.5 RED 3 DOZEN</t>
  </si>
  <si>
    <t>BASKET PLASTIC 10.5X7X1.5 YELLOW 3 DOZEN</t>
  </si>
  <si>
    <t>BASKET BLACK 3 DOZEN</t>
  </si>
  <si>
    <t>BASKET FOREST GREEN 3 DOZEN</t>
  </si>
  <si>
    <t>BASKET GRANDE RED 11X8 3 DOZEN</t>
  </si>
  <si>
    <t>BASKET RECIPE BLACK 11.75X8.5 3 DOZEN</t>
  </si>
  <si>
    <t>BASKET RECTANGULAR FOREST GREEN 11.75X8.5 3 DOZEN</t>
  </si>
  <si>
    <t>BASKET RECTANGULAR GRANDE RED 11.75X8.5 3 DOZEN</t>
  </si>
  <si>
    <t>BASKET OVAL 11.7X8.7 BLACK 3 DOZEN</t>
  </si>
  <si>
    <t>BASKET OVAL 11.7X8.7X1.7 3 DOZEN</t>
  </si>
  <si>
    <t>BASKET PLATTER TEXAS BLACK OVAL 3 DOZEN</t>
  </si>
  <si>
    <t>BASKET TEXAS PLATTER FOREST GREEN 3 DOZEN</t>
  </si>
  <si>
    <t>BASKET OVAL RED 12.75X9.5 3 DOZEN</t>
  </si>
  <si>
    <t>DISPENSER SQUEEZE 8OZ NATURAL 12 COUNT</t>
  </si>
  <si>
    <t>DISPENSER SQUEEZE 8 OUNCE RED 12 COUNT</t>
  </si>
  <si>
    <t>DISPENSER SQUEEZE 8 OUNCE YELLOW 1 DOZEN</t>
  </si>
  <si>
    <t>PIPE OVERFLOW 11 1 COUNT</t>
  </si>
  <si>
    <t>BASKET PLASTIC 9X3.5X2 NATURAL 1 DOZEN</t>
  </si>
  <si>
    <t>DISPENSER SQUEEZE WIDE MOUTH N STANDARD TIP 12 OUNCE 3 DOZEN</t>
  </si>
  <si>
    <t>DISPENSER SQUEEZE 12 OUNCE CLEAR 12 COUNT</t>
  </si>
  <si>
    <t>DISPENSER SQUEEZE 12 OUNCE RED 1 DOZEN</t>
  </si>
  <si>
    <t>DISPENSER SQUEEZE MUSTARD 12OZ 1 DOZEN</t>
  </si>
  <si>
    <t>DISPENSER WIDE MOUTH NATURAL 16 OUNCE CLEAR 2 DOZEN</t>
  </si>
  <si>
    <t>BASKET RECTANGLE 9X6X2.5 1 DOZEN</t>
  </si>
  <si>
    <t>BASKET PLASTIC OVAL 9X6X2.25 1 DOZEN</t>
  </si>
  <si>
    <t>BASKET PLASTIC 8.5X2.25 NATURAL 1 DOZEN</t>
  </si>
  <si>
    <t>BASKET PLASTIC LARGE OVAL NATURAL 1 DOZEN</t>
  </si>
  <si>
    <t>BASKET 14X10X3 RECTANGULAR NATURAL 6 COUNT</t>
  </si>
  <si>
    <t>BASKET RECTANGULAR 16X11.25 NATURAL 6 COUNT</t>
  </si>
  <si>
    <t>CORK SCREW WINGED 1 COUNT</t>
  </si>
  <si>
    <t>CORKSCREW WAITER'S 1 COUNT</t>
  </si>
  <si>
    <t>EGG RING 4 RINGS W/NON STICK 1 EACH</t>
  </si>
  <si>
    <t>DISPENSER WIDE MOUTH NATURAL 24 OUNCE CLEAR 1 DOZEN</t>
  </si>
  <si>
    <t>DISPENSER SQUEEZE 24 OUNCE NATURAL 1 DOZEN</t>
  </si>
  <si>
    <t>DISPENSER SYRUP 8 OUNCE 1 DOZEN</t>
  </si>
  <si>
    <t>SHAKER SALT &amp; PEPPER ROUND 3 OUNCE 2 DOZEN</t>
  </si>
  <si>
    <t>DISPENSER SYRUP GLASS 8 OUNCE 1 DOZEN</t>
  </si>
  <si>
    <t>RACK 3 COMPARTMENT CHROME PLATED 6 COUNT</t>
  </si>
  <si>
    <t>PITCHER 2.5 QUART GRANITE GRAY WITH BLACK LID 12 COUNT</t>
  </si>
  <si>
    <t>BASKET OVAL BROWN RECTANGLE 9X6X2 1 DOZEN</t>
  </si>
  <si>
    <t>OPENER PAIL EASY ALUMINUM 1 COUNT</t>
  </si>
  <si>
    <t>SHAKER SALT &amp; PEPPER PANELED ONE OUNCE STAINLESS STEEL 2 DOZEN</t>
  </si>
  <si>
    <t>BIN 4 COMPARTMENT PLASTIC SILVERWARE 1 EACH</t>
  </si>
  <si>
    <t>BOX UNDER COUNTER GRAY HIGH DENSITY POLYETHYLENE 1 DOZEN</t>
  </si>
  <si>
    <t>BUS BOX 21.75X16.75X5 BLACK 1 DOZEN</t>
  </si>
  <si>
    <t>BUS BOX 21.25X15.75X5 GRAY 1 DOZEN</t>
  </si>
  <si>
    <t>BUS BOX 21.75X16.75X5 WHITE 1 DOZEN</t>
  </si>
  <si>
    <t>COVER BLACK FITS 1529&amp;1537 1 COUNT</t>
  </si>
  <si>
    <t>COVER GRAY FITS 1529&amp;1537 1 COUNT</t>
  </si>
  <si>
    <t>COVER WHITE 5 INCH 12 COUNT</t>
  </si>
  <si>
    <t>BOX BUS.22.25X16.5X7 1 DOZEN</t>
  </si>
  <si>
    <t>BOX BUS.22.25X16.5X7 12 COUNT</t>
  </si>
  <si>
    <t>BOX BUS.21.75X16.75X7 1 DOZEN</t>
  </si>
  <si>
    <t>BOX BUS DIVIDED 7 GREY 6 COUNT</t>
  </si>
  <si>
    <t>SHAKER SALT &amp; PEPPER W/MUSH TOP SQUARE 2 DOZEN</t>
  </si>
  <si>
    <t>TOP REPLACEMENT FOR 154 24 COUNT</t>
  </si>
  <si>
    <t>SHAKER SALT &amp; PEPPER PANELED 2 OUNCE STAINLESS STEEL 2 DOZEN</t>
  </si>
  <si>
    <t>SHAKER SALT &amp; PEPPER PANELED 3 OUNCE STAINLESS STEEL 2 DOZEN</t>
  </si>
  <si>
    <t>STRAINER 10 INCH 4 QUART CHINA CAP 1 COUNT</t>
  </si>
  <si>
    <t>SALT &amp; PEPPER SHAKER BLACK TOP 2 DOZEN</t>
  </si>
  <si>
    <t>SALT &amp; PEPPER SHAKER WHITE TOP 2 DOZEN</t>
  </si>
  <si>
    <t>SHAKER SALT &amp; PEPPER FACETED 1.5 OUNCE 2 DOZEN</t>
  </si>
  <si>
    <t>DREDGE SET BEIGE ROSE YELLOW LID 1 COUNT</t>
  </si>
  <si>
    <t>CADDY CHECK BRASS PLATED 1 EACH</t>
  </si>
  <si>
    <t>STRAINER 4 QUART FINE 10 INCH DIAMETER 1 COUNT</t>
  </si>
  <si>
    <t>SPINDLE CHECK BRASS PLATED 1 COUNT</t>
  </si>
  <si>
    <t>GRATER CHEESE 1 COUNT</t>
  </si>
  <si>
    <t>HOLDER GRIDDLE FOR. 3119 1 COUNT</t>
  </si>
  <si>
    <t>WHISKEY POURER CHROME 1 DOZEN</t>
  </si>
  <si>
    <t>POURER WHISKEY CLEAR &amp; BLACK 1 DOZEN</t>
  </si>
  <si>
    <t>DISPENSER SQUEEZE TOP WHITE HINGED 1 DOZEN</t>
  </si>
  <si>
    <t>BOWL ROUND WOOD 5.5 1 DOZEN</t>
  </si>
  <si>
    <t>BOWL SALAD WOOD 6 MAHOGANY 1 DOZEN</t>
  </si>
  <si>
    <t>BOWL SALAD WOOD 8 INCH MAHOGANY 1 DOZEN</t>
  </si>
  <si>
    <t>STAND TRAY TEAK WOOD 1 COUNT</t>
  </si>
  <si>
    <t>BOWL SALAD WOOD 10 INCH MAHOGANY 1 DOZEN</t>
  </si>
  <si>
    <t>DISPENSER SQUEEZE 8OZ. WITH HINGED TOP 1 DOZEN</t>
  </si>
  <si>
    <t>YSR SQUEEZE WITH HINGED TOP 12 OUNCE NATURAL 1 DOZEN</t>
  </si>
  <si>
    <t>BOWL SALAD WOOD 12 INCH MAHOGANY 1 DOZEN</t>
  </si>
  <si>
    <t>DISPENSER SQUEEZE 24OZ WITH HINGED TOP 1 DOZEN</t>
  </si>
  <si>
    <t>HOLDER NAPKIN FULL SIZE STAINLESS STEEL 1 EACH</t>
  </si>
  <si>
    <t>POURER ONE OUNCE RED TUBE RED SPOUT 1 DOZEN</t>
  </si>
  <si>
    <t>PROPER POUR CLEAR TUBE RED SPOUT 1 DOZEN</t>
  </si>
  <si>
    <t>PROPER POUR YELLOW TUBE RED SPOUT 1 DOZEN</t>
  </si>
  <si>
    <t>STAND. TRAY METAL 29.5 1 COUNT</t>
  </si>
  <si>
    <t>DISPENSER TOOTHPICK STAINLESS STEEL 1 COUNT</t>
  </si>
  <si>
    <t>STAND TRAY CHROME DOUBLE BAR 1 COUNT</t>
  </si>
  <si>
    <t>SERVER 10 INCH STAINLESS STEEL WITH WOOD HANDLE 12 COUNT</t>
  </si>
  <si>
    <t>MASHER 19 SQUARE BEAN WITH TEXTURED HANDLE 1 EACH</t>
  </si>
  <si>
    <t>BAKERS SELECT RECTANGLE WOVEN 9X6X2.5 1 DOZEN</t>
  </si>
  <si>
    <t>BASKET WOVEN BLACK 9X6X2.25 1 DOZEN</t>
  </si>
  <si>
    <t>BAKERS SELECT HANDMADE OVAL BLK10X6.5X3 1 DOZEN</t>
  </si>
  <si>
    <t>SHAKER CHEESE SWIRLED GLASS 6 OUNCE PERFORATED TOP 1 DOZEN</t>
  </si>
  <si>
    <t>RACK METAL 4 RING CHROME 6 COUNT</t>
  </si>
  <si>
    <t>SHAKER CHEESE SLOTTED TOP 6 OUNCE 1 DOZEN</t>
  </si>
  <si>
    <t>ASHTRAY PLASTIC 4.25 DEEP BLACK 1 DOZEN</t>
  </si>
  <si>
    <t>ASHTRAY PLASTIC 4.25 DEEP RED 1 DOZEN</t>
  </si>
  <si>
    <t>SKIMMER STAINLESS STEEL 5X6.5X18.25 1 COUNT</t>
  </si>
  <si>
    <t>KNIFE HOLDER MAGNETIC 12 INCH WOOD 1 COUNT</t>
  </si>
  <si>
    <t>KNIFE HOLDER MAGNETIC 18 WOOD 1 COUNT</t>
  </si>
  <si>
    <t>POURER BAN/M CLEAR 1 DOZEN</t>
  </si>
  <si>
    <t>POURER BAN/M RED 1 DOZEN</t>
  </si>
  <si>
    <t>POURER SMOKE SANITARY SCREEN SPOUT 1 DOZEN</t>
  </si>
  <si>
    <t>WEIGHT STEAK ALUMINUM 1 COUNT</t>
  </si>
  <si>
    <t>TBC MEAT TENDERIZER CAST ALUMINUM 1 COUNT</t>
  </si>
  <si>
    <t>TENDERIZER MEAT ALUMINUM WOOD HANDLE 1 COUNT</t>
  </si>
  <si>
    <t>WEIGHT STEAK CALIFORNIA STYLE IRON 1 COUNT</t>
  </si>
  <si>
    <t>SHAKER SALT &amp; PEPPER SQUARE .5OZ 2 DOZEN</t>
  </si>
  <si>
    <t>SKEWER 10 INCH STAINLESS STEEL 12 COUNT</t>
  </si>
  <si>
    <t>1    12    CNT</t>
  </si>
  <si>
    <t>SKEWER 12 INCH OVAL STAINLESS STEEL 12 COUNT</t>
  </si>
  <si>
    <t>DISPENSER 16 OUNCE N WITH WIDE TIP 2 DOZEN</t>
  </si>
  <si>
    <t>DISPENSER NATURAL TIP 32OZ WIDE MOUTH 1 DOZEN</t>
  </si>
  <si>
    <t>DISPENSER SQUEEZE 32 OUNCE NATURAL 1 DOZEN</t>
  </si>
  <si>
    <t>SKIMMER MESH 6 1 COUNT</t>
  </si>
  <si>
    <t>ASHTRAY SAFTY 7 PLASTIC BLACK 1 DOZEN</t>
  </si>
  <si>
    <t>STRAINER BOUILLON FINE 9.5 1 COUNT</t>
  </si>
  <si>
    <t>BEVERAGE DISPENSER SINGLE ALMOND 3GA HEAVY DUTY FAUCET 1 COUNT</t>
  </si>
  <si>
    <t>POURER RED FREE FLOW PLASTIC 12 COUNT</t>
  </si>
  <si>
    <t>SHAKER STAINLESS STEEL 16 OUNCE 1 COUNT</t>
  </si>
  <si>
    <t>BOTTLE OPENER WALL MOUNT STAINLESS STEEL 1 COUNT</t>
  </si>
  <si>
    <t>BASKET TACO FRY 1 EACH</t>
  </si>
  <si>
    <t>TACO RAIL HOLDS 12 6 SHELL 1 EACH</t>
  </si>
  <si>
    <t>DISPENSER SYRUP CHROME GLASS 6 OUNCE 1 DOZEN</t>
  </si>
  <si>
    <t>TABLE TENT CLEAR ACRYLIC 4X6 1 COUNT</t>
  </si>
  <si>
    <t>OPENER CAN SWING AWAY 1 COUNT</t>
  </si>
  <si>
    <t>BASKET TOSTADA FRY 1 EACH</t>
  </si>
  <si>
    <t>DISPENSER SYRUP 14 OUNCE TEARDROP 1 DOZEN</t>
  </si>
  <si>
    <t>BASKET CHROME ROUND 9.75X3.25 1 COUNT</t>
  </si>
  <si>
    <t>WOOD MUDDLER NATURAL 8 INCH 1 COUNT</t>
  </si>
  <si>
    <t>MEASURE ONE QUART ALUMINUM 1 COUNT</t>
  </si>
  <si>
    <t>MEASURE 2 QUART ALUMINUM 1 COUNT</t>
  </si>
  <si>
    <t>MEASURE 4 QUART ALUMINUM 1 COUNT</t>
  </si>
  <si>
    <t>BASKET SLOPED TACO SALAD 1 EACH</t>
  </si>
  <si>
    <t>BASKET DEEP TACO SALAD 1 EACH</t>
  </si>
  <si>
    <t>DECANTER 20 OUNCE WHITE PLASTIC 1 COUNT</t>
  </si>
  <si>
    <t>MASHER POTATO STAINLESS STEEL HANDLE 1 COUNT</t>
  </si>
  <si>
    <t>DECANTER 40 LOAD OUNCE WHITE PLASTIC 1 COUNT</t>
  </si>
  <si>
    <t>TOP FOR 444 DECANTER WHITE 1 COUNT</t>
  </si>
  <si>
    <t>DECANTER 64 OUNCE WHITE PLASTIC 1 COUNT</t>
  </si>
  <si>
    <t>PEELER STAINLESS STEEL EKCO BRAND 1 EACH</t>
  </si>
  <si>
    <t>288+</t>
  </si>
  <si>
    <t>DECANTER 40 LOAD OUNCE BLACK PLASTIC 1 COUNT</t>
  </si>
  <si>
    <t>DECANTER 64 OUNCE PLASTIC BLACK 1 COUNT</t>
  </si>
  <si>
    <t>FUNNEL SET 5 PAN CAPACITY WHITE PLASTIC 1 EACH</t>
  </si>
  <si>
    <t>LADLE LEXAN FOR. PUNCH BOWL 1 DOZEN</t>
  </si>
  <si>
    <t>SPOON BAR 11 STAINLESS STEEL 1 EACH</t>
  </si>
  <si>
    <t>SCOOP ICE. 9 STAINLESS STEEL 1 EACH</t>
  </si>
  <si>
    <t>CRACKER LOBSTER DOUBLE JAW 24 COUNT</t>
  </si>
  <si>
    <t>CRUMB SWEEPER GOLD ANODIZED 1 DOZEN</t>
  </si>
  <si>
    <t>BUCKET WINE STAINLESS STEEL 8 QUART ONE COUNT 1 EACH</t>
  </si>
  <si>
    <t>PENDING 1/3/2013</t>
  </si>
  <si>
    <t>BUCKET WINE SR563757 1 COUNT</t>
  </si>
  <si>
    <t>BUCKET WINE AND CHAMPAGNE NICKEL PLATED HAMMERED FINISHED 1 EACH</t>
  </si>
  <si>
    <t>TONG ICE 3 PRONG STAINLESS STEEL 1 EACH</t>
  </si>
  <si>
    <t>STAND WINE BUCKET FOLDING 1 COUNT</t>
  </si>
  <si>
    <t>POURER SUGAR GLASS 12OZ 1 DOZEN</t>
  </si>
  <si>
    <t>HOLDER PACKET CLEAR 2 DOZEN</t>
  </si>
  <si>
    <t>ASHTRAY METAL GOLD 5.75 6 DOZEN</t>
  </si>
  <si>
    <t>POURER SUGAR GLASS 12 OUNCE 1 DOZEN</t>
  </si>
  <si>
    <t>RACK CHROME COMBO SALT &amp; PEPPER &amp; SUGAR 1 DOZEN</t>
  </si>
  <si>
    <t>RACK CHROME JELLY 4 COMPARTMENT 1 DOZEN</t>
  </si>
  <si>
    <t>CHECK PRESENTER BLACK 5X9 1 EACH</t>
  </si>
  <si>
    <t>CRUET GLASS 6 0Z STAINLESS STEEL SQUARE 1 DOZEN</t>
  </si>
  <si>
    <t>RACK OIL &amp; VINEGAR FOR #600 6 COUNT</t>
  </si>
  <si>
    <t>CRUET GLASS 6OZ WITH RACK 6 COUNT</t>
  </si>
  <si>
    <t>SCOOP ALUMINUM 5 OUNCE 1 COUNT</t>
  </si>
  <si>
    <t>SCOOP ALUMINUM 12 OUNCE 1 COUNT</t>
  </si>
  <si>
    <t>SCOOP ALUMINUM 24 OUNCE 1 COUNT</t>
  </si>
  <si>
    <t>CHAIR HIGH UNASSEMBLED NATURAL 1 COUNT</t>
  </si>
  <si>
    <t>SCOOP ALUMINUM 58 OUNCE 1 COUNT</t>
  </si>
  <si>
    <t>CHAIR HIGH ASSEMBLY NATURAL 1 COUNT</t>
  </si>
  <si>
    <t>CHAIR HIGH WALNUT UNASSEMBLED 1 COUNT</t>
  </si>
  <si>
    <t>PUMP ONE OUNCE ECONOMY 1 DOZEN</t>
  </si>
  <si>
    <t>PUMP PLASTIC ECONOMY WITH CAP. 1 COUNT</t>
  </si>
  <si>
    <t>DISPENSER PUMP PLASTIC WITH CAP 1 COUNT</t>
  </si>
  <si>
    <t>PUMP 662 WITH 38MM CAP 12 COUNT</t>
  </si>
  <si>
    <t>KIT PUMP DISPENSER PLAST WHITE 1 SET</t>
  </si>
  <si>
    <t>KIT PUMP MAXI WIDE MOUTH ONE OUNCE 1 COUNT</t>
  </si>
  <si>
    <t>RIMMER SALT GLASS 3 COMPARTMENT 1 COUNT</t>
  </si>
  <si>
    <t>SPONGE REPLACEMENT #667 1 COUNT</t>
  </si>
  <si>
    <t>CHAIR HIGH ASSEMBLY WALNUT 1 COUNT</t>
  </si>
  <si>
    <t>STRAPS FOR.HIGH CHAIR 1 COUNT</t>
  </si>
  <si>
    <t>POURER PLASTIC CHROME/BLACK 1 DOZEN</t>
  </si>
  <si>
    <t>COLANDER 8 QUART STAINLESS STEEL 1 COUNT</t>
  </si>
  <si>
    <t>COLANDER 13 QUART STAINLESS STEEL 1 COUNT</t>
  </si>
  <si>
    <t>STRAW DISPENSER GLASS CHROME TOP 6 COUNT</t>
  </si>
  <si>
    <t>SPOONS MEASURING SET STAINLESS STEEL 1 COUNT</t>
  </si>
  <si>
    <t>SPOONS MEASURING HEAVY DUTY 1 SET</t>
  </si>
  <si>
    <t>CUPS MEASURING SET STAINLESS STEEL 1 COUNT</t>
  </si>
  <si>
    <t>CUP MEASURING STAINLESS STEEL 1/4 CUP 1 COUNT</t>
  </si>
  <si>
    <t>CUP MEASURING STAINLESS STEEL .5 CUP 1 COUNT</t>
  </si>
  <si>
    <t>DISPENSER POLYETHYLENE 48 OZ CONTAINER ALMOND TOP 6 COUNT</t>
  </si>
  <si>
    <t>SHAKER BAR 16 OUNCE STAINLESS STEEL 1 EACH</t>
  </si>
  <si>
    <t>SHAKER BAR 28 OUNCE STAINLESS STEEL 1 EACH</t>
  </si>
  <si>
    <t>BREAD BOARD NATURAL FINISH 12 COUNT</t>
  </si>
  <si>
    <t>SHAKER GLASS 12 OUNCE PERFORATED TOP 1 DOZEN</t>
  </si>
  <si>
    <t>STRAINER 6.25 FINE MESH 1 COUNT</t>
  </si>
  <si>
    <t>STAND CAKE 7 ASSEMBLED STAINLESS STEEL 1 COUNT</t>
  </si>
  <si>
    <t>SHAKER SALT &amp; PEPPER EIFFEL 1OZ STAINLESS STEEL 2 DOZEN</t>
  </si>
  <si>
    <t>STRAINER 8 INCH FINE MESH 1 COUNT</t>
  </si>
  <si>
    <t>STRAINER 10.25 FINE MESH 1 COUNT</t>
  </si>
  <si>
    <t>REFILLER PEPPER .5 GALLON 1 EACH</t>
  </si>
  <si>
    <t>REFILLER SALT .5 GALLON 1 EACH</t>
  </si>
  <si>
    <t>BOTTLE OLIVE OIL WITH POURER 16OZ 1 COUNT</t>
  </si>
  <si>
    <t>BASKET OVAL 9X4X2 BLACK GOLD 1 DOZEN</t>
  </si>
  <si>
    <t>SQUEEZER LEMON LIME STAINLESS STEEL 1 COUNT</t>
  </si>
  <si>
    <t>DISPENSER BEVERAGE PLASTIC 3 GALLON BLACK 1 COUNT</t>
  </si>
  <si>
    <t>NOZZLE REPLACEMENT FOR MFG# 953 1 COUNT</t>
  </si>
  <si>
    <t>DISPENSER BEVERAGE PLASTIC 3 GALLON YELLOW 1 COUNT</t>
  </si>
  <si>
    <t>STRAINER 6.25 MEDIUM MESH 1 COUNT</t>
  </si>
  <si>
    <t>BASKET OVAL 9X6X2.5 1 DOZEN</t>
  </si>
  <si>
    <t>STRAINER 8 INCH DOUBLE MEDIUM MESH 1 COUNT</t>
  </si>
  <si>
    <t>BASKET SMALL PASTA BOIL 5.25X7 1 EACH</t>
  </si>
  <si>
    <t>BASKET LARGE PASTA BOIL 6.5X7 1 EACH</t>
  </si>
  <si>
    <t>BASKET STAINLESS STEEL ROUND COOKING 5 INCH 1 EACH</t>
  </si>
  <si>
    <t>BASKET STAINLESS STEEL ROUND COOKING 3.5 1 EACH</t>
  </si>
  <si>
    <t>STRAINER 10.25 MEDIUM MESH 1 COUNT</t>
  </si>
  <si>
    <t>SCREW LEVEL TABLE GLIDES 1 DOZEN</t>
  </si>
  <si>
    <t>HOTTLE COFFE 10 OZ BLACK 2 DOZEN</t>
  </si>
  <si>
    <t>BASKET BLACK RECTANGLE 9X6X2 6 COUNT</t>
  </si>
  <si>
    <t>BASKET BLACK OVAL 9X6X2.5 6 COUNT</t>
  </si>
  <si>
    <t>BASKET BLACK OVAL 10X7X3 6 COUNT</t>
  </si>
  <si>
    <t>BASKET BLACK ROUND 8 INCH 6 COUNT</t>
  </si>
  <si>
    <t>RACK BLACK MEDIUM 6.79 VERSA 2 COUNT</t>
  </si>
  <si>
    <t>RACK BLACK LARGE HALF VERSA 2 COUNT</t>
  </si>
  <si>
    <t>TOP FOR. HOTTLE B3650 1 DOZEN</t>
  </si>
  <si>
    <t>SHAKER SALT &amp; PEPPER SQUARE GLASS STAINLESS STEEL TOP 4 CASE 12 COUNT</t>
  </si>
  <si>
    <t>SHAKER SALT &amp; PEPPER GLASS STAINLESS STEEL TOP 4 CASE 12 COUNT</t>
  </si>
  <si>
    <t>SHAKER CHEESE SWIRL 6 OUNCE 6 CASE 4 COUNT</t>
  </si>
  <si>
    <t>TBC ASHTRAY PLASTIC 4.25BLK 6 CASE 12 COUNT</t>
  </si>
  <si>
    <t>DISPENSER SYRUP TEARDROP GLASS 6OZ 4 CASE 4 COUNT</t>
  </si>
  <si>
    <t>SHAKER SUGAR GLASS 12 OUNCE 4 CASE 4 COUNT</t>
  </si>
  <si>
    <t>DISPENSER CONDIMENTS OIL &amp; VINEGAR 6 OUNCE SQUARE 16 COUNT</t>
  </si>
  <si>
    <t>SHAKER SALT &amp; PEPPER EIFFEL TOWER GLASS 4 CASE 12 COUNT</t>
  </si>
  <si>
    <t>CUTTING BOARD POLYETHYLENE WHITE 1 EACH</t>
  </si>
  <si>
    <t>DRAIN BOX SET COMBO 1 SET</t>
  </si>
  <si>
    <t>SET GARNISH 9 PIECE 1 SET</t>
  </si>
  <si>
    <t>PEELER STRAIGHT FIRM GRIP 1 COUNT</t>
  </si>
  <si>
    <t>PEELER Y STRAIGHT EDGE 1 COUNT</t>
  </si>
  <si>
    <t>CHEESE PLANE FIRM GRIP 1 COUNT</t>
  </si>
  <si>
    <t>ZESTER FIRM GRIP 1 COUNT</t>
  </si>
  <si>
    <t>APPLE CORER FIRM GRIP 1 COUNT</t>
  </si>
  <si>
    <t>CORER TOMATO STEM FIRM GRIP 1 COUNT</t>
  </si>
  <si>
    <t>CUTTER BAGEL FIRM GRIP 1 COUNT</t>
  </si>
  <si>
    <t>PRESS GARLIC 1 COUNT</t>
  </si>
  <si>
    <t>GRATER MEDIUM HOLE FIRM GRIP 1 COUNT</t>
  </si>
  <si>
    <t>CAN OPENER HAND HELD FIRM GRIP 1 COUNT</t>
  </si>
  <si>
    <t>SHARPENER HAND HELD 1 COUNT</t>
  </si>
  <si>
    <t>SHARPENER KNIFE ALADDIN 1 COUNT</t>
  </si>
  <si>
    <t>DREDGE ALUMINUM 10 OZ WITH HANDLE 1 EACH</t>
  </si>
  <si>
    <t>DREDGE STAINLESS STEEL 10 OZ WITH HANDLE 1 COUNT</t>
  </si>
  <si>
    <t>CRUET OIL &amp; VINEGAR 16OZ 1 COUNT</t>
  </si>
  <si>
    <t>BOTTLE GEMELLI OIL &amp; VINEGAR 1 COUNT</t>
  </si>
  <si>
    <t>SAVER KETCHUP WHITE 2 COUNT</t>
  </si>
  <si>
    <t>FILM DISPENSER 12 INCH 18 1 COUNT</t>
  </si>
  <si>
    <t>STATION KETCHUP SAVER 1 COUNT</t>
  </si>
  <si>
    <t>DISPENSER GREY 32 OUNCE 1 EACH</t>
  </si>
  <si>
    <t>TOP 48OZ GRAY 1 COUNT</t>
  </si>
  <si>
    <t>SHARPENING STONE 3WAY 1 COUNT</t>
  </si>
  <si>
    <t>OIL HONING 16 OUNCE 1 COUNT</t>
  </si>
  <si>
    <t>SERVER CHERRYMINT TOP 10 OUNCE 1 DOZEN</t>
  </si>
  <si>
    <t>DISPENSER CHROME TOP 10OZ 1 DOZEN</t>
  </si>
  <si>
    <t>DISPENSER PERFORATED TOP 6OZ 2 DOZEN</t>
  </si>
  <si>
    <t>DISPENSER SYRUP ALMOND TOP 10 OZ 1 DOZEN</t>
  </si>
  <si>
    <t>DISPENSER SYRUP BROWN TOP 10 OZ 1 DOZEN</t>
  </si>
  <si>
    <t>DISPENSER SYRUP RED TOP 10 OZ 1 DOZEN</t>
  </si>
  <si>
    <t>TOP SIDEFLAP 12OZ STAINLESS STEEL 2 DOZEN</t>
  </si>
  <si>
    <t>TOP PERFORATED 12OZ STAINLESS STEEL 2 DOZEN</t>
  </si>
  <si>
    <t>RACK KNIFE PLASTIC 1 COUNT</t>
  </si>
  <si>
    <t>PEPPERMILL 10 INCH WALNUT 1 COUNT</t>
  </si>
  <si>
    <t>PEPPERMILL 12 INCH WALNUT 1 COUNT</t>
  </si>
  <si>
    <t>PEPPERMILL 18 WALNUT 1 COUNT</t>
  </si>
  <si>
    <t>STRAINER BAR 4 PRONG STAINLESS STEEL 1 COUNT</t>
  </si>
  <si>
    <t>GRATER SQUARE STAINLESS STEEL HEAVY DUTY 4X4X9 1 COUNT</t>
  </si>
  <si>
    <t>TAYLOR INSTRUMENTS</t>
  </si>
  <si>
    <t>THERMOMETER OVEN DIAL 1 COUNT</t>
  </si>
  <si>
    <t>THERMOMETER REFRIGERATOR/FREEZER TRU-TEMP 1 EACH</t>
  </si>
  <si>
    <t>THERMOMETER TRU-TEMP DIAL 1 COUNT</t>
  </si>
  <si>
    <t>THERMOMETER DIGITAL POCKET TEST LCD 1 COUNT</t>
  </si>
  <si>
    <t>THERMOMETER POCKET DIAL ANTIBACTERIAL 1 COUNT</t>
  </si>
  <si>
    <t>TIMER DIGITAL DUAL EVENTS 1 EACH</t>
  </si>
  <si>
    <t>TIMER 60 MINUTE LONG RINGS 1 EACH</t>
  </si>
  <si>
    <t>THERMOMETER CANDY/DEEP-FRY CLASSIC 1 COUNT</t>
  </si>
  <si>
    <t>THERMOMETER REFRIGERATOR/FREEZER 1 EACH</t>
  </si>
  <si>
    <t>THERMOMETER REFFRZ 1 COUNT</t>
  </si>
  <si>
    <t>THERMOMETER REFRIGERATOR/FREEZER EASY READ. 1 COUNT</t>
  </si>
  <si>
    <t>THERMOMETER OVEN DIAL 200/500 1 EACH</t>
  </si>
  <si>
    <t>THERMOMETER MEAT DIAL 1 COUNT</t>
  </si>
  <si>
    <t>THERMOMETER OVEN HOLDING 1 COUNT</t>
  </si>
  <si>
    <t>THERMOMETER REFFRZ 20/80DEG 1 COUNT</t>
  </si>
  <si>
    <t>THERMOMETER MILK BEVERAGE 20/120 1 COUNT</t>
  </si>
  <si>
    <t>THERMOMETER POCKET DIAL 220 DEGREES 1 COUNT</t>
  </si>
  <si>
    <t>THERMOMETER FROTHING W/CLIP 1 COUNT</t>
  </si>
  <si>
    <t>THERMOMETER BIMETAL 2 GRILL 1 COUNT</t>
  </si>
  <si>
    <t>THERMOMETER POCKET DIAL SUPERIOR GRADE 1 COUNT</t>
  </si>
  <si>
    <t>THERMOMETER POCKET DIALSTD GRADE 1 COUNT</t>
  </si>
  <si>
    <t>THERMOMETER POCKET DIAL 50/500 1 COUNT</t>
  </si>
  <si>
    <t>THERMOMETER STANDARD GRADE 1 160 DEGREES 1 COUNT</t>
  </si>
  <si>
    <t>THERMOMETER POCKET SIZE TESTER HACCP 1 EACH</t>
  </si>
  <si>
    <t>TEST STRIP DISHWASHER TEMPERATURE 180 12 CASE 25 COUNT</t>
  </si>
  <si>
    <t>THERMOMETER DIGITAL WITH LAZER 1 COUNT</t>
  </si>
  <si>
    <t>PROBE TYPE K STEP DOWN PENETRATING 1 EACH</t>
  </si>
  <si>
    <t>DIGITAL THERMOMETER WITH RUBBER BOOT 1 EACH</t>
  </si>
  <si>
    <t>THERMOMETER H2OPRF DIGITAL 1 COUNT</t>
  </si>
  <si>
    <t>THERMOMETER WATERPROOF -40/450 DEGREE 1 EACH</t>
  </si>
  <si>
    <t>WIPE PROBE 70% ALCOHOL 10 BOX 100 COUNT</t>
  </si>
  <si>
    <t>SCALE 10 POUND DIGITAL PORTION CONTROL 1 COUNT</t>
  </si>
  <si>
    <t>SCALE 150LB CILD STAINLESS STEEL 1 COUNT</t>
  </si>
  <si>
    <t>SCALE 22 POUND DIGITAL CONTROL 1 COUNT</t>
  </si>
  <si>
    <t>SCALE 32 OUNCE DIGITAL 1 COUNT</t>
  </si>
  <si>
    <t>SCALE 32 OUNCE 9X9 STAINLESS STEEL PLATFORM 1 COUNT</t>
  </si>
  <si>
    <t>SCALE 50LBX2OZ 9X9 STAINLESS STEEL 1 COUNT</t>
  </si>
  <si>
    <t>SCALE 16 OUNCE FFRY/ TACO HOLDER 1 COUNT</t>
  </si>
  <si>
    <t>SCALE ICE CREAM 32 OZX .25 OUNCE 1 COUNT</t>
  </si>
  <si>
    <t>SCALE 250LBX1LB STAINLESS STEEL PLATFORM 1 COUNT</t>
  </si>
  <si>
    <t>SCALE ROTATING DIAL 25LBX2OZ 1 COUNT</t>
  </si>
  <si>
    <t>SCALE ROTATING DIAL 32 OZX.25OZ 1 COUNT</t>
  </si>
  <si>
    <t>SCALE ROTATING DIAL 5LBX.5OZ 1 COUNT</t>
  </si>
  <si>
    <t>SCALE ROTATING DIAL 50LBX4 OUNCE 1 COUNT</t>
  </si>
  <si>
    <t>TEKNOR APEX COMPANY</t>
  </si>
  <si>
    <t>BOARD CUTTING PLASTIC 6X8X.5 1 COUNT</t>
  </si>
  <si>
    <t>BOARD CUTTING PLASTIC 12X18X.5 1 COUNT</t>
  </si>
  <si>
    <t>BOARD CUTTING PLASTIC 15X20X.5 1 COUNT</t>
  </si>
  <si>
    <t>BOARD CUTTING PLASTIC 18X24X.5 1 COUNT</t>
  </si>
  <si>
    <t>MAT RUBBER SANEZE RED 1 COUNT</t>
  </si>
  <si>
    <t>MAT RUBBER TEK TOUGH JUNIOR BLACK 1 COUNT</t>
  </si>
  <si>
    <t>RACK CUTTING BOARD 6 SLOT WHITE 1 COUNT</t>
  </si>
  <si>
    <t>HOSE HOT WATER RUBBER 50'X5/8 1 COUNT</t>
  </si>
  <si>
    <t>NOZZLE PREMIUM HOSE 1 COUNT</t>
  </si>
  <si>
    <t>MAT GREASE RESISTANT RED 3X5 1 COUNT</t>
  </si>
  <si>
    <t>TERMINIX</t>
  </si>
  <si>
    <t>TERMINIX NATURAL DRAIN FLY KILLER 4 CASE 22 OUNCE</t>
  </si>
  <si>
    <t>TERMINIX NATURAL PEST CONTROL STINGING INSECT KILLER 6 CASE 14 OUNCE</t>
  </si>
  <si>
    <t>TERMINIX NATURAL PEST CONTROL CRAWLING INSECT KILLER 6 CASE 14 OUNCE</t>
  </si>
  <si>
    <t>TERMINIX NATURAL PEST CONTROL FLYING INSECT CONTROL 6 CASE 14 OUNCE</t>
  </si>
  <si>
    <t>TERMINIX NATURAL CONTROL 6 CASE 16 OUNCE</t>
  </si>
  <si>
    <t>TERMINIX NATURAL DRAIN FLY KILLER WITH BATTERY POWERED SPRAYER 1 GALLON</t>
  </si>
  <si>
    <t>TOLCO CORP</t>
  </si>
  <si>
    <t>VALU CHECK 32 OUNCE WITH SPRAYER 3 COUNT</t>
  </si>
  <si>
    <t>PUMP ONE OUNCE WITH ADAPTOR KIT 1 EACH</t>
  </si>
  <si>
    <t>PUMP GSP 01 ONE OUNCE 38/400 1 DOZEN</t>
  </si>
  <si>
    <t>URINAL MAT ECONOLINE CHOICE 1 EACH</t>
  </si>
  <si>
    <t>SCREEN URINAL WITH BLOCK CHERRY 1 DOZEN</t>
  </si>
  <si>
    <t>SCREEN URINAL WITH BLOCK GREEN APPLE 1 DOZEN</t>
  </si>
  <si>
    <t>BLOCK URINAL TOSS NON.PARA. 12 DOZEN</t>
  </si>
  <si>
    <t>DEODORIZER URINAL CLEAR CHOICE HERBAL 1 EACH</t>
  </si>
  <si>
    <t>AIR FRESHENER CLEAR CHOICE HERBAL CHOICE 1 EACH</t>
  </si>
  <si>
    <t>CABINET AIR FRESHENER 1 EACH</t>
  </si>
  <si>
    <t>ECO CHOICE URINAL SCREEN BIODEGRADABLE BUBBLE GUM BLUE 12 COUNT</t>
  </si>
  <si>
    <t>ECO CHOICE URINAL SCREEN BIODEGRADABLE RED CHERRY 12 COUNT</t>
  </si>
  <si>
    <t>DISPENSER SINGLE ROLL TISSUE 1 EACH</t>
  </si>
  <si>
    <t>DISPENSER DOUBLE ROLL TISSUE 1 EACH</t>
  </si>
  <si>
    <t>DISPENSER SINGLE FOLD TOWEL WHITE ENAMEL 1 EACH</t>
  </si>
  <si>
    <t>DISPENSER CENTER FOLD TOWEL WHITE 1 EACH</t>
  </si>
  <si>
    <t>DISPENSER CLEAR CHOICE SOAP 50 OUNCE WHITE 1 EACH</t>
  </si>
  <si>
    <t>SCOOP MODEL 621 3 QUART WHITE 1 EACH</t>
  </si>
  <si>
    <t>OPENER DRUM PAIL GREEN 1 EACH</t>
  </si>
  <si>
    <t>MOP DELUXE BOWL 1 EACH</t>
  </si>
  <si>
    <t>BRUSH DELUXE BOWL 1 EACH</t>
  </si>
  <si>
    <t>DUSTER POLYWOOL 26 1 EACH</t>
  </si>
  <si>
    <t>DUSTER POLYWOOL EXTEND 1 EACH</t>
  </si>
  <si>
    <t>HOLDER SWIVEL PAD 1 EACH</t>
  </si>
  <si>
    <t>PLUNGER INDUSTRIAL TOILET 1 EACH</t>
  </si>
  <si>
    <t>PLUNGER DELUXE PROFESSIONAL 1 EACH</t>
  </si>
  <si>
    <t>BOWL CADDY WHITE 12 COUNT</t>
  </si>
  <si>
    <t>KIT CLEAN UP WITH DISINFECTANT BOXED 1 EACH</t>
  </si>
  <si>
    <t>ASSURE SAFETY GLASSES 1 EACH</t>
  </si>
  <si>
    <t>VISITOR SAFETY GLASSES 1 EACH</t>
  </si>
  <si>
    <t>RACK BOX FOR DISPOSABLE GLOVES WHITE 1 EACH</t>
  </si>
  <si>
    <t>U.S.C.</t>
  </si>
  <si>
    <t>DETERGENT DISH STALWART 4 CASE 4.25 POUND</t>
  </si>
  <si>
    <t>DETERGENT LAUNDRY LIQUID DESTAINR 5 GALLON</t>
  </si>
  <si>
    <t>DIG GALLO GRILL CLEANER 4 CASE 1 GALLON</t>
  </si>
  <si>
    <t>SOAK ITEM SILVER PRESOAK 4 CASE 4.1 POUND</t>
  </si>
  <si>
    <t>DETERGENT DISH FURY 4 CASE 8 POUND</t>
  </si>
  <si>
    <t>PRESOAK DISH DIP DESTN 4 CASE 3.75 POUND</t>
  </si>
  <si>
    <t>CLEAN FLOOR UNIVERSAL 25 POUND</t>
  </si>
  <si>
    <t>CLEANER DRAIN HANDY MANIA 12 CASE 1 QUART</t>
  </si>
  <si>
    <t>DETERGENT LAUNDRY CITRUS 50 POUND</t>
  </si>
  <si>
    <t>CLEANER GLASS LOW FOAM 72 CASE 1 OUNCE</t>
  </si>
  <si>
    <t>SANITIZER FOR ICE CREAM MACHINE 72 CASE .33 OUNCE</t>
  </si>
  <si>
    <t>DETERGENT POT &amp; PAN PINK BEADED 25# BOX 1 COUNT</t>
  </si>
  <si>
    <t>DETERGENT DISH LIQUID FURY 5 GALLON</t>
  </si>
  <si>
    <t>SOAP HAND PINK COCO 4 CASE 1 GALLON</t>
  </si>
  <si>
    <t>SOAP HAND CLEAN N SOFT 4 CASE 1 GALLON</t>
  </si>
  <si>
    <t>RINSE ADDITIVES RINSE RIGHT 4 CASE 1 GALLON</t>
  </si>
  <si>
    <t>RINSE ADDITIVES RINSE RIGHT 5 GALLON</t>
  </si>
  <si>
    <t>DETERGENT DISH E.S. LOW TEMP 5 GALLON</t>
  </si>
  <si>
    <t>SANITIZER SANITIZER E.S. 4 CASE 1 GALLON</t>
  </si>
  <si>
    <t>SANITIZER SANITIZER E.S. 5 GALLON</t>
  </si>
  <si>
    <t>DETERGENT DISH FAILSAFE SEAWATCH 4 CASE 8 POUND</t>
  </si>
  <si>
    <t>DETERGENT LAUNDRY ALL TEMPURA 25 POUND</t>
  </si>
  <si>
    <t>DETERGENT LIQUID FIESTA 4 CASE 1 GALLON</t>
  </si>
  <si>
    <t>RINSE ADDITIVES DRI FAST 5 GALLON</t>
  </si>
  <si>
    <t>RINSE ADDITIVES TEMPURA RINSE 4 CASE 1 GALLON</t>
  </si>
  <si>
    <t>RINSE ADDITIVES TEMPURA RINSE 5 GALLON</t>
  </si>
  <si>
    <t>CLEAN GENERAL PURPOSE CHALLENGE 4 CASE 1 GALLON</t>
  </si>
  <si>
    <t>CLEAN GENERAL PURPOSE PINE BRIGHT 4 CASE 1 GALLON</t>
  </si>
  <si>
    <t>DETERGENT DISH TEMPURA DETERGENT 4 CASE 1 GALLON</t>
  </si>
  <si>
    <t>DETERGENT DISH TEMPURA DETERGENT 5 GALLON</t>
  </si>
  <si>
    <t>CLEANER DEEP FRY FRYER CLEANER 4 CASE 3.75 POUND</t>
  </si>
  <si>
    <t>SOAP HAND HANDY PINK 4 CASE 1 GALLON</t>
  </si>
  <si>
    <t>CLEANER G.O.C. SUPREME 4 CASE 1 GALLON</t>
  </si>
  <si>
    <t>SANITIZER SANITIZER TABS 6 CASE 150 COUNT</t>
  </si>
  <si>
    <t>CLEANER SHURGUARD PLUS 4 CASE 1 GALLON</t>
  </si>
  <si>
    <t>CLEANER GALLO RAGE OVEN CLEANER 4 CASE 1 GALLON</t>
  </si>
  <si>
    <t>CLEANER DISINFECTANT LEMON 4 CASE 1 GALLON</t>
  </si>
  <si>
    <t>CLEANER DRAIN BACTERIAL 4 CASE 1 GALLON</t>
  </si>
  <si>
    <t>CLEANER DRAIN BACTERIAL 5 GALLON</t>
  </si>
  <si>
    <t>CLEAN GENERAL PURPOSE ALL PURPOSE 707 4 CASE 1 GALLON</t>
  </si>
  <si>
    <t>DETERGENT LIQUID SPECIAL PINK 4 CASE 1 GALLON</t>
  </si>
  <si>
    <t>DETERGENT LIQUID SPECIAL PINK 5 GALLON</t>
  </si>
  <si>
    <t>PRESOAK UTENSIL 4 CASE 4.1 POUND</t>
  </si>
  <si>
    <t>CLEANER MIXMATE ALL PURPOSE DEGREASER 2 CASE 2.5 GALLON</t>
  </si>
  <si>
    <t>CLEANER MIXMATE ALL PURPOSE DEGREASER 2 CASE 1 GALLON</t>
  </si>
  <si>
    <t>CLEANER MIXMATE NUETRAL CITRUS 2 CASE 1 GALLON</t>
  </si>
  <si>
    <t>CLEAN GENERAL PURPOSE T.A.P. 4 CASE 1 GALLON</t>
  </si>
  <si>
    <t>PROLINE HEAVY DUTY 4 CASE 8 COUNT</t>
  </si>
  <si>
    <t>PROLINE DEGREASER 4 CASE 1 GALLON</t>
  </si>
  <si>
    <t>ENTERPRISE DETERGENT LIQUID PINK POT &amp; PAN 4 CASE 1 GALLON</t>
  </si>
  <si>
    <t>ENTERPRISE CLEANER GENERAL PURPOSE HEAVY DUTY DEGREASER 4 CASE 1 GALLON</t>
  </si>
  <si>
    <t>ENTERPRISE CLEANER GENERAL PURPOSE PINE ODOR 4 CASE 1 GALLON</t>
  </si>
  <si>
    <t>ENTERPRISE CLEANER GOLDEN CORN GRILL &amp; OVEN 4 CASE 1 GALLON</t>
  </si>
  <si>
    <t>ENTERPRISE DETERGENT LIQUID DISHMACHINE 5 GALLON</t>
  </si>
  <si>
    <t>ENTERPRISE RINSE ADDITIVES RINSE AID 5 GALLON</t>
  </si>
  <si>
    <t>SOLV LIME 4 CASE 1 GALLON</t>
  </si>
  <si>
    <t>ENTERPRISE DETERGENT POWDER DISHMACHINE 25 POUND</t>
  </si>
  <si>
    <t>SCREEN B&amp;D URINAL SCREEN 12 COUNT</t>
  </si>
  <si>
    <t>CLEAN QUARRY GRIP FLOOR 2 CASE 1 GALLON</t>
  </si>
  <si>
    <t>CLEANER AEROSOL STAINLS STEEL 6 CASE 15 OUNCE</t>
  </si>
  <si>
    <t>INSECTICIDE FLYING INSECT KILLER 6 CASE 15 OUNCE</t>
  </si>
  <si>
    <t>CLEANER AREO DISINFECTANT 6 CASE 16 OUNCE</t>
  </si>
  <si>
    <t>DEODORIZING AREO DISINFECTANT 6 CASE 16 OUNCE</t>
  </si>
  <si>
    <t>CLEANER AEROSOL GLASS CLEAN 6 CASE 16 OUNCE</t>
  </si>
  <si>
    <t>CLEANER AREO STAINLS STEEL 6 CASE 16 OUNCE</t>
  </si>
  <si>
    <t>CLEANER AEROSOL OVEN CLEANER 6 CASE 18 OUNCE</t>
  </si>
  <si>
    <t>POLISH AREO FURNITURE 6 CASE 19 OUNCE</t>
  </si>
  <si>
    <t>BOWL CLEANER 2 CASE 90 COUNT</t>
  </si>
  <si>
    <t>SOAP PERSONAL HYGIENE SYSTEM PEACH SMOKIN 4 CASE 1500 MILLILITER</t>
  </si>
  <si>
    <t>SOAP PERSONAL HYGIENE SYSTEM PEACH SMOKIN 8 CASE 1500 MILLILITER</t>
  </si>
  <si>
    <t>SOAP HAND ALOE ENRICHED GREEN 4 CASE 1500 MILLILITER</t>
  </si>
  <si>
    <t>SOAP PERSONAL HYGIENE SYSTEM PEARLIZED BLEND 4 CASE 1500 MILLILITER</t>
  </si>
  <si>
    <t>SOAP PERSONAL HYGIENE SYSTEM PEARLIZED BLEND 8 CASE 1500 MILLILITER</t>
  </si>
  <si>
    <t>SOAP PERSONAL HYGIENE SYSTEM AND SANI-TUFF 4 CASE 1500 MILLILITER</t>
  </si>
  <si>
    <t>DETERGENT LAUNDRY DESTAINER+ 2.5 GALLON</t>
  </si>
  <si>
    <t>DETERGENT ULTRA POT.N PAN. 2 CASE 1500 MILLILITER</t>
  </si>
  <si>
    <t>PRESOAK SILVER RINGS LIQUID STAINLESS STEEL 2 CASE 1500 MILLILITER</t>
  </si>
  <si>
    <t>SANITIZER ULTRA ACTIVE 2 CASE 1500 MILLILITER</t>
  </si>
  <si>
    <t>CLEANER MISCO BANISH 12 CASE 1 QUART</t>
  </si>
  <si>
    <t>CLEANER WITH INSERT SEE THRU 4 CASE 1 GALLON</t>
  </si>
  <si>
    <t>CLEANER SPEEDY DEGREASER 4 CASE 1 GALLON</t>
  </si>
  <si>
    <t>DETERGENT LAUNDRY ORANGE BLOSSOM COMPOUND POWDER 25 POUND</t>
  </si>
  <si>
    <t>DESTAINER NEXUS BLEACH 2.5 GALLON</t>
  </si>
  <si>
    <t>SANITIZER READY TO USE NO RINSE 6 CASE 1 QUART</t>
  </si>
  <si>
    <t>TREATMENT DOCK &amp; DUMPSTER 4 CASE 1 QUART</t>
  </si>
  <si>
    <t>FLOORBAC ENZYME FLOOR CLEANER 2 CASE 1 GALLON</t>
  </si>
  <si>
    <t>QUICK LINE CLEANER SHOWDOWN 6 CASE 32 OUNCE</t>
  </si>
  <si>
    <t>QUICK LINE CLEANER T.A.P ORANGE 6 CASE 32 OUNCE</t>
  </si>
  <si>
    <t>QUICK LINE CLEANER TAG TEAM 6 CASE 32 OUNCE</t>
  </si>
  <si>
    <t>QUICK LINE CLEANER WHITE GLOVE 6 CASE 32 OUNCE</t>
  </si>
  <si>
    <t>QUICK LINE CLEANER TKO 6 CASE 32 OUNCE</t>
  </si>
  <si>
    <t>CLEANER GLITZ 6 CASE 32 OUNCE</t>
  </si>
  <si>
    <t>QUICK LINE CLEANER XENON 6 CASE 32 OUNCE</t>
  </si>
  <si>
    <t>SANITIZER SHURGUARD PLUS 5 GALLON</t>
  </si>
  <si>
    <t>SOAP HAND INDULGENCE 4 CASE 1000 MILLILITER</t>
  </si>
  <si>
    <t>INDULGENCE FOAM HANDWASH 4 CASE 1000 MILLILITER</t>
  </si>
  <si>
    <t>CLEANER SURETY ALL PURPOSE 4 CASE 1 GALLON</t>
  </si>
  <si>
    <t>MINIMAX MECHANICAL WW. DETERGENT 2 CASE 3100 MILLILITER</t>
  </si>
  <si>
    <t>MINIMAX MECHANICAL WW. RINSE 2 CASE 3100 MILLILITER</t>
  </si>
  <si>
    <t>CLEANER MISCO SPRAY 4 CASE 1 GALLON</t>
  </si>
  <si>
    <t>CLEANER MISCO POWER 4 CASE 1 GALLON</t>
  </si>
  <si>
    <t>MICROTECH MECHANICAL WAREWASH RINSE 2 CASE 1.5 GALLON</t>
  </si>
  <si>
    <t>LAUNDRY DETERGENT MICROTECH BUILT 2 CASE 1.5 GALLON</t>
  </si>
  <si>
    <t>LAUNDRY DETERGENT MICROTECH BREAK ALKALI BOOSTER 2 CASE 1.5 GALLON</t>
  </si>
  <si>
    <t>LAUNDRY DETERGENT MICROTECH SUDS 2 CASE 1.5 GALLON</t>
  </si>
  <si>
    <t>LAUNDRY DETERGENT MICROTECH SOFTENER SOFTENING AGENT 2 CASE 1.5 GALLON</t>
  </si>
  <si>
    <t>LAUNDRY DETERGENT MICROTECH SOUR NEUTRALIZING SOUR 2 CASE 1.5 GALLON</t>
  </si>
  <si>
    <t>LAUNDRY DETERGENT MICROTECH DESTAINER BLEACH WHITENER 2 CASE 1.5 GALLON</t>
  </si>
  <si>
    <t>MICROTECH ALL PURPOSE CLEANER DEGREASER 2 CASE 1.5 GALLON</t>
  </si>
  <si>
    <t>MICROTECH FLOORBAC NO RINSE 2 CASE 1.5 GALLON</t>
  </si>
  <si>
    <t>SURETY MICROTECH HYDROGEN PEROXIDE G.P. CLEANER 2 CASE 1.5 GALLON</t>
  </si>
  <si>
    <t>SURETY MICROTECH GLASS &amp; SURFACE CLEANER 2 CASE 1.5 GALLON</t>
  </si>
  <si>
    <t>SURETY MICROTECH TUB &amp; TILE CLEANER 2 CASE 1.5 GALLON</t>
  </si>
  <si>
    <t>SANITIZER CHLORINE BASED 2 CASE 1.5 GALLON</t>
  </si>
  <si>
    <t>MICROTECH AMONIATED GLASS CLEANER 1.5 GALLON</t>
  </si>
  <si>
    <t>MICROTECH MANUAL UTENSIL PRESOAK STAINLESS &amp; SILVER 1.5 GALLON</t>
  </si>
  <si>
    <t>MICROTECH MANUAL POT &amp; PAN DETERGENT LAVENDER 1.5 GALLON</t>
  </si>
  <si>
    <t>MIXMATE SHURGUARD ULTIMATE 1.5 GALLON</t>
  </si>
  <si>
    <t>MICROTECH LIME OUT NON FOAMING ACID 4 CASE 1 GALLON</t>
  </si>
  <si>
    <t>MICROTECH QUICK LINE TKO OVEN AND GRILL CLEANER 6 CASE 1 QUART</t>
  </si>
  <si>
    <t>MICROTECH MICRO-PAK DETERGENT HEAVY DUTY 4 CASE 9 POUND</t>
  </si>
  <si>
    <t>UPDATE INTERNATIONAL</t>
  </si>
  <si>
    <t>ALUMINUM BUN PAN 12 COUNT</t>
  </si>
  <si>
    <t>ACRYLIC WINE BOTTLE HOLDER 1 EACH</t>
  </si>
  <si>
    <t>BAKE PAN ALUMINUM 12X18 1 EACH</t>
  </si>
  <si>
    <t>COLANDER ALUMINUM 16 QUART WITH BASE 1 EACH</t>
  </si>
  <si>
    <t>ICE CREAM DIPPER 3 OUNCE 1 EACH</t>
  </si>
  <si>
    <t>ICE CREAM DIPPER 2.5OZ 1 EACH</t>
  </si>
  <si>
    <t>ICE CREAM DIPPER 2 OUNCE 1 EACH</t>
  </si>
  <si>
    <t>FRY PAN ALUMINUM 8 INCH 1 EACH</t>
  </si>
  <si>
    <t>FRY PAN ALUMINUM 10 INCH UNCOATED 1 EACH</t>
  </si>
  <si>
    <t>FRY PAN ALUMINUM 12 INCH UNCOATED 1 EACH</t>
  </si>
  <si>
    <t>BLACK &amp; STAINLESS CLICK POURER 1 EACH</t>
  </si>
  <si>
    <t>PLATE ADAPTOR DELUXE 2X8 3/8 1 EACH</t>
  </si>
  <si>
    <t>PASTRY DISPLAY ACRYLIC SELF-SERVE 14X24X24 1 COUNT</t>
  </si>
  <si>
    <t>PASTRY DISPLAY ACRYLIC 21X17.25X12 1 COUNT</t>
  </si>
  <si>
    <t>PASTRY DISPLAY ACRYLIC 21X17.25X16.5 1 COUNT</t>
  </si>
  <si>
    <t>ALUMINUM PIE MARKER 6 CUTS 1 EACH</t>
  </si>
  <si>
    <t>ALUMINUM PIE MARKER 7 CUTS 1 EACH</t>
  </si>
  <si>
    <t>ALUMINUM PIE MARKER 8 CUTS 1 EACH</t>
  </si>
  <si>
    <t>ALUMINUM PIE MARKER 10 CUTS 1 EACH</t>
  </si>
  <si>
    <t>ALUMINUM PIE MARKER 12 CUTS 1 EACH</t>
  </si>
  <si>
    <t>RACK AIRPOT BLACK WIRE 3 DRIP TRAY 1 COUNT</t>
  </si>
  <si>
    <t>BIB APRON VINYL HEAVY DUTY 1 EACH</t>
  </si>
  <si>
    <t>BUS CART STAINLESS STEEL 1 COUNT</t>
  </si>
  <si>
    <t>CREAMER BELL 3 OUNCE 1 EACH</t>
  </si>
  <si>
    <t>UTILITY BUS CART HEAVY DUTY 40X20X38 1 COUNT</t>
  </si>
  <si>
    <t>CREAMER BELL 5 OUNCE 1 EACH</t>
  </si>
  <si>
    <t>BAIN MARIE 1.25 QUART 1 EACH</t>
  </si>
  <si>
    <t>BAIN MARIE 3.5 OZ QUART 1 EACH</t>
  </si>
  <si>
    <t>COVER FOR BM.125 1 EACH</t>
  </si>
  <si>
    <t>COVER FOR BEVERAGE MIX 350 1 EACH</t>
  </si>
  <si>
    <t>OPENER STAINLESS STEEL FLAT BOTTLE 1 EACH</t>
  </si>
  <si>
    <t>PITCHER BELL STAINLESS STEEL 2 QUART GUARD 1 EACH</t>
  </si>
  <si>
    <t>SCOOP BAR 9 1/2 INCHES 1 EACH</t>
  </si>
  <si>
    <t>SPOON BAR WITH RED TIP 11 1 DOZEN</t>
  </si>
  <si>
    <t>STRAINER BAR 4 PRONGS 1 EACH</t>
  </si>
  <si>
    <t>CUTTING BOARD 15X20X1/2 1 EACH</t>
  </si>
  <si>
    <t>CUTTING BOARD WHITE 6X10X1/2 1 EACH</t>
  </si>
  <si>
    <t>HOLDER FUEL FOR CHAFER 1 EACH</t>
  </si>
  <si>
    <t>DISPENSER STAINLESS STEEL CONDIMENT 5 COMPARTMENT 1 EACH</t>
  </si>
  <si>
    <t>KINOX SAFE DECANTER 64OZ 1 EACH</t>
  </si>
  <si>
    <t>KINOX SAFE DECAN DECAF 1 EACH</t>
  </si>
  <si>
    <t>STEAK PLATTER CAST IRON SET 1 SET</t>
  </si>
  <si>
    <t>CAN OPENER GIANT 1 EACH</t>
  </si>
  <si>
    <t>CUTLERY POUCH BLACK 1 EACH</t>
  </si>
  <si>
    <t>RACK COOLING CHROME PLATED WIRE 1 EACH</t>
  </si>
  <si>
    <t>SHAKER COCKTAIL 26 OUNCE 1 EACH</t>
  </si>
  <si>
    <t>CULINARY BASKET 10 INCH COARSE MESH 1 EACH</t>
  </si>
  <si>
    <t>CULINARY BASKET 10 INCH SMALL MESH 1 EACH</t>
  </si>
  <si>
    <t>SHAKER DELUXE COCKTAIL 28 OUNCE 3 PIECE 1 COUNT</t>
  </si>
  <si>
    <t>SERVING SPOON DOMINION IN CLEAR PACK 1 DOZEN</t>
  </si>
  <si>
    <t>DUNNAGE RACK ALUMINUM 14X36X8 1 EACH</t>
  </si>
  <si>
    <t>DOMINION TEASPOON IN CLEAR PACK 1 DOZEN</t>
  </si>
  <si>
    <t>DOMINION BOUILLON SPOON IN CLEAR PACK 1 DOZEN</t>
  </si>
  <si>
    <t>DOMINION DESSERT SPOON IN CLEAR PACK 1 DOZEN</t>
  </si>
  <si>
    <t>DOMINION DINNER FORK IN CLEAR PACK 1 DOZEN</t>
  </si>
  <si>
    <t>DOMINION SALAD FORK IN CLEAR PACK 1 DOZEN</t>
  </si>
  <si>
    <t>DOMINION DINNER KNFE IN CLEAR PACK 1 DOZEN</t>
  </si>
  <si>
    <t>DISHER ICE CREAM 3.75 OUNCE CREAM HANDLE 1 EACH</t>
  </si>
  <si>
    <t>DISHER ICE CREAM 2.75 OUNCE OUNCE BLUE HANDLE 1 EACH</t>
  </si>
  <si>
    <t>ICE CREAM SPADE WITH PLASTIC HANDLE 1 EACH</t>
  </si>
  <si>
    <t>DREDGE STAINLESS 10 OUNCE WITH HANDLE 1 EACH</t>
  </si>
  <si>
    <t>POLYCARBONATE DREDGE WITH HANDLES 10OZ 1 EACH</t>
  </si>
  <si>
    <t>DECANTER STAINLESS STEEL 64OZ BLACK HANDLE 1 EACH</t>
  </si>
  <si>
    <t>PLASTIC DRIP TRAY WITH SPONGE 1 EACH</t>
  </si>
  <si>
    <t>OCTAGON DRIP TRAY 6X6 BLACK 1 EACH</t>
  </si>
  <si>
    <t>PEELER PROTEIN GRIP STRAIGHT 1 EACH</t>
  </si>
  <si>
    <t>GRATER PROTEIN GRIP 1 EACH</t>
  </si>
  <si>
    <t>STEAMER ESPRESSO MILK 33 OUNCE 1 EACH</t>
  </si>
  <si>
    <t>PITCHER ESPRESSO MILK 40OZ WITH 1 EACH</t>
  </si>
  <si>
    <t>ALUMINUM EGG SLICER 1 EACH</t>
  </si>
  <si>
    <t>ECONO SERVER 1 EACH</t>
  </si>
  <si>
    <t>CHAFER EZ.STOR FOLDING FULL SIZE 1 COUNT</t>
  </si>
  <si>
    <t>SWIRL WHITE 42 OUNCE 1 EACH</t>
  </si>
  <si>
    <t>FRYER BASKET 1 EACH</t>
  </si>
  <si>
    <t>CARAFE 42 OUNCE BLACK SWIRL PUSH BUTTON 12 COUNT</t>
  </si>
  <si>
    <t>BASKET WIRE FRY 9 1/2 1 EACH</t>
  </si>
  <si>
    <t>HOLDER FLATWARE CYLINDER 4 HOLES 1 COUNT</t>
  </si>
  <si>
    <t>CYLINDER STAINLESS STEEL FLATWARE 20 COUNT</t>
  </si>
  <si>
    <t>TRAY FAST FOOD 12X16 BLACK 1 DOZEN</t>
  </si>
  <si>
    <t>TRAY FAST FOOD 12X16 RED 1 DOZEN</t>
  </si>
  <si>
    <t>PLASTIC FLATWARE CYLINDER 1 EACH</t>
  </si>
  <si>
    <t>WHITE PLASTIC FUNNEL 16 OUNCE 1 EACH</t>
  </si>
  <si>
    <t>STAINLESS STEEL FUNNEL WITH REMOVABLE STRAINER 1 EACH</t>
  </si>
  <si>
    <t>TEAPOT GOOSENECK 20 OUNCE 24 COUNT</t>
  </si>
  <si>
    <t>RIMMER GLASS THREE TRAY BLACK 1 EACH</t>
  </si>
  <si>
    <t>GRATER STAINLESS STEEL 4X4X9 4 EDGE 1 EACH</t>
  </si>
  <si>
    <t>TRAY GRIP TIGHT 14 ROUND 1 EACH</t>
  </si>
  <si>
    <t>TRAY FIBERGLASS GRIP OVAL 1 EACH</t>
  </si>
  <si>
    <t>DEVICE GLASS WASHING 3 BRUSHES 1 COUNT</t>
  </si>
  <si>
    <t>BEVERAGE DISPENSER BLACK &amp; GOLD TRADITIONAL 20 OUNCE 1 EACH</t>
  </si>
  <si>
    <t>BEVERAGE DISPENSER BLACK &amp; GOLD TRADITIONAL 32 OUNCE 1 EACH</t>
  </si>
  <si>
    <t>BEVERAGE DISPENSER BLACK &amp; GOLD TRADITIONAL 64 OUNCE 1 EACH</t>
  </si>
  <si>
    <t>SOLID SPOON WITH PLASTIC HOOK 1 EACH</t>
  </si>
  <si>
    <t>SPOUT LADLE 2 OUNCE 1 EACH</t>
  </si>
  <si>
    <t>TURNER PERFORATED WITH PLASTIC HOOK 1 EACH</t>
  </si>
  <si>
    <t>SLOTTED SPOON 1 EACH</t>
  </si>
  <si>
    <t>DEEP LADLE 3.5 OUNCE 1 EACH</t>
  </si>
  <si>
    <t>PASTRY SERVER 1 EACH</t>
  </si>
  <si>
    <t>SERVER PIE 1 EACH</t>
  </si>
  <si>
    <t>COLD MEAT FORK 1 EACH</t>
  </si>
  <si>
    <t>HOOD FILTER BAFFLE STAINLESS STEEL 6 COUNT</t>
  </si>
  <si>
    <t>INDUCTION COOKER 1800W 120 VOLT 1 EACH</t>
  </si>
  <si>
    <t>ICING GRATE CHROME PLATED 1 EACH</t>
  </si>
  <si>
    <t>INSET 4 QUART 1 EACH</t>
  </si>
  <si>
    <t>INSET 7 QUART 1 EACH</t>
  </si>
  <si>
    <t>COVER INSET 4 QUART 1 EACH</t>
  </si>
  <si>
    <t>COVER INSET 7 QUART 1 EACH</t>
  </si>
  <si>
    <t>COVER HINGED 7 QUART 1 EACH</t>
  </si>
  <si>
    <t>JIGGER 1/2 ONE OUNCE 1 EACH</t>
  </si>
  <si>
    <t>JIGGER 3/4 ONE 1/4 OZ. 1 EACH</t>
  </si>
  <si>
    <t>JIGGER 3/4 1.5 OUNCE 1 EACH</t>
  </si>
  <si>
    <t>JIGGER ONE 1.5 OUNCE 1 EACH</t>
  </si>
  <si>
    <t>JIGGER 1..2 OUNCE 1 COUNT</t>
  </si>
  <si>
    <t>KNOCK BOX 4 STAINLESS STEEL 1 EACH</t>
  </si>
  <si>
    <t>CLEAVER 7 CLAM SHELL PACK 1 EACH</t>
  </si>
  <si>
    <t>RACK KNIFE STAINLESS STEEL 1 EACH</t>
  </si>
  <si>
    <t>STAINLESS STEEL KETTLE WHIP 48 1 EACH</t>
  </si>
  <si>
    <t>LADLE ONE PIECE ONE OUNCE 1 EACH</t>
  </si>
  <si>
    <t>LADLE ONE PIECE 2 OUNCE 1 EACH</t>
  </si>
  <si>
    <t>LADLE ONE PIECE 3 OUNCE 1 EACH</t>
  </si>
  <si>
    <t>LADLE ONE PIECE 4 OUNCE 1 EACH</t>
  </si>
  <si>
    <t>LADLE ONE PIECE 6 OUNCE 1 EACH</t>
  </si>
  <si>
    <t>AIRPOT STAINLESS STEEL BLACK 2.5 LITER 1 EACH</t>
  </si>
  <si>
    <t>BOWL MIXING 13 QUART 1 EACH</t>
  </si>
  <si>
    <t>BOWL MIXING 1.5 QUART 1 EACH</t>
  </si>
  <si>
    <t>BOWL MIXING 3 QUART 1 EACH</t>
  </si>
  <si>
    <t>BOWL MIXING 5 QUART 1 EACH</t>
  </si>
  <si>
    <t>BOWL MIXING 8 QUART 1 EACH</t>
  </si>
  <si>
    <t>CUP MALT STAINLESS STEEL 30 OUNCE 1 EACH</t>
  </si>
  <si>
    <t>MENU CARD STAND WITH CAST IRON BASE 1 EACH</t>
  </si>
  <si>
    <t>MEASURING CUP ONE PINT POLYCARBONATE 1 EACH</t>
  </si>
  <si>
    <t>MEASURING CUP SET 1 EACH</t>
  </si>
  <si>
    <t>MEASURING CUP SETS POLYCARBONATE 6 SET</t>
  </si>
  <si>
    <t>SPOON MEASURING SET STAINLESS STEEL DELUXE 1 SET</t>
  </si>
  <si>
    <t>JUICER 20.5 WITH ONE PIECE STAINLESS STEEL 1 EACH</t>
  </si>
  <si>
    <t>MOLCAJETE 10 OUNCE 4 PIECE IN A PACK 4 COUNT</t>
  </si>
  <si>
    <t>MOLCAJETE 4 OUNCE 4 PIECE IN A PACK 4 COUNT</t>
  </si>
  <si>
    <t>ALUMINUM MUFFIN PAN 12 CUP 1 EACH</t>
  </si>
  <si>
    <t>ALUMINUM MUFFIN PAN 24 CUP 1 EACH</t>
  </si>
  <si>
    <t>MIXING PADDLE 36 MIRROR POLISH 1 EACH</t>
  </si>
  <si>
    <t>MIXING PADDLE 48 MIRROR POLISH 1 EACH</t>
  </si>
  <si>
    <t>PADDLE MIXING WOOD 36 1 EACH</t>
  </si>
  <si>
    <t>PADDLE MIXING WOOD 48 1 EACH</t>
  </si>
  <si>
    <t>MEAT TENDERIZER 1 EACH</t>
  </si>
  <si>
    <t>STAINLESS STEEL NAPKIN HOLDER 1 EACH</t>
  </si>
  <si>
    <t>BOTTLE 1QT ASSORTED COLOR POURER 1 DOZEN</t>
  </si>
  <si>
    <t>BOTTLE 2 QUART POURER ASSORTED COLOR 6 COUNT</t>
  </si>
  <si>
    <t>POLYCARBONATE ROLL TOP COVER 1 EACH</t>
  </si>
  <si>
    <t>PIZZA CUTTER 4 1 EACH</t>
  </si>
  <si>
    <t>PIZZA CUTTER 4 WOOD HANDLE 1 EACH</t>
  </si>
  <si>
    <t>DISPENSER ALUMINUM PANCAKE 1 COUNT</t>
  </si>
  <si>
    <t>DISPENSER STAINLESS STEEL PANCAKE 1 COUNT</t>
  </si>
  <si>
    <t>PANCAKE BATTER DISPENSER STAND 1 EACH</t>
  </si>
  <si>
    <t>TONG 12 INCH POLYCARBONATE BLACK 1 COUNT</t>
  </si>
  <si>
    <t>TONG 9 POLYCARBONATE BLACK 1 EACH</t>
  </si>
  <si>
    <t>WIRE PAN GRATE FULL SIZE 1 EACH</t>
  </si>
  <si>
    <t>WIRE PAN GRATE 1/3 SIZE 1 EACH</t>
  </si>
  <si>
    <t>WIRE PAN GRATE 1/2 SIZE 1 EACH</t>
  </si>
  <si>
    <t>PAN GRIPPER 8 INCH FOR DEEP PAN 1 EACH</t>
  </si>
  <si>
    <t>PAN GRIPPER FOR SHALLOW PAN 1 EACH</t>
  </si>
  <si>
    <t>BAGS STANDARD PIZZA DELIVERY 20X20 1 EACH</t>
  </si>
  <si>
    <t>CARAFE STAINLESS STEEL PREMIUM 1.0L 1 EACH</t>
  </si>
  <si>
    <t>POTATO MASHER ROUND 1 EACH</t>
  </si>
  <si>
    <t>POTATO MASHER SQUARE 1 EACH</t>
  </si>
  <si>
    <t>POURER BLACK SPEED 10 DOZEN</t>
  </si>
  <si>
    <t>METAL POURER WITH HINGED FLIP TOP 1 DOZEN</t>
  </si>
  <si>
    <t>POURER METAL WITH PLASTIC CORK 1 DOZEN</t>
  </si>
  <si>
    <t>POURER RED PLASTIC 10 DOZEN</t>
  </si>
  <si>
    <t>PEELER VEGETABLE WITH BLISTER CARD 1 EACH</t>
  </si>
  <si>
    <t>PIZZA SCREEN ALUMINUM SEAMLESS RIM 8 INCH 1 EACH</t>
  </si>
  <si>
    <t>PIZZA SCREEN ALUMINUM SEAMLESS RIM 9 1 EACH</t>
  </si>
  <si>
    <t>PIZZA SCREEN ALUMINUM SEAMLESS RIM10 1 EACH</t>
  </si>
  <si>
    <t>PIZZA SCREEN ALUMINUM SEAMLESS RIM11 1 EACH</t>
  </si>
  <si>
    <t>PIZZA SCREEN ALUMINUM SEAMLESS RIM12 1 EACH</t>
  </si>
  <si>
    <t>PIZZA SCREEN ALUMINUM SEAMLESS RIM13 1 EACH</t>
  </si>
  <si>
    <t>PIZZA SCREEN ALUMINUM SEAMLESS RIM14 1 EACH</t>
  </si>
  <si>
    <t>PIZZA SCREEN ALUMINUM SEAMLESS RIM15 1 EACH</t>
  </si>
  <si>
    <t>PIZZA SCREEN ALUMINUM SEAMLESS RIM16 1 EACH</t>
  </si>
  <si>
    <t>PIZZA SCREEN ALUMINUM SEAMLESS RIM17 1 EACH</t>
  </si>
  <si>
    <t>PIZZA SCREEN ALUMINUM SEAMLESS RIM18 1 EACH</t>
  </si>
  <si>
    <t>ALUMINUM PAN STRAINER 1 EACH</t>
  </si>
  <si>
    <t>PLASTIC TABLE NUMBER 1 EACH</t>
  </si>
  <si>
    <t>RACK PIZZA TRAY 15 SLEEVES 1 COUNT</t>
  </si>
  <si>
    <t>PIZZA TRAY STAND CHROME PLATED 1 EACH</t>
  </si>
  <si>
    <t>ALUMINUM PIZZA TRAY WIDE RIM 11 1 EACH</t>
  </si>
  <si>
    <t>ALUMINUM PIZZA TRAY WIDE RIM 12 INCH 1 EACH</t>
  </si>
  <si>
    <t>ALUMINUM PIZZA TRAY WIDE RIM 13 1 EACH</t>
  </si>
  <si>
    <t>ALUMINUM PIZZA TRAY WIDE RIM 14 1 EACH</t>
  </si>
  <si>
    <t>ALUMINUM PIZZA TRAY WIDE RIM 15 1 EACH</t>
  </si>
  <si>
    <t>ALUMINUM PIZZA TRAY WIDE RIM 16 1 EACH</t>
  </si>
  <si>
    <t>ALUMINUM PIZZA TRAY WIDE RIM 17 1 EACH</t>
  </si>
  <si>
    <t>ALUMINUM PIZZA TRAY WIDE RIM 9 1 EACH</t>
  </si>
  <si>
    <t>WHIP PIANO 12 INCH 1 EACH</t>
  </si>
  <si>
    <t>WHIP PIANO 16 1 EACH</t>
  </si>
  <si>
    <t>ROLLER DOCKER STAINLESS STEEL 1 EACH</t>
  </si>
  <si>
    <t>REGENCY TEASPOON 1 DOZEN</t>
  </si>
  <si>
    <t>REGENCY SPOON DESSERT 1 DOZEN</t>
  </si>
  <si>
    <t>REGENCY ICED TEASPOON 2.5MM 1 DOZEN</t>
  </si>
  <si>
    <t>REGENCY FORK DINNER 1 DOZEN</t>
  </si>
  <si>
    <t>REGENCY OYSTER FORK 2.5MM 1 DOZEN</t>
  </si>
  <si>
    <t>REGENCY KNIFE DINNER 1 DOZEN</t>
  </si>
  <si>
    <t>REGENCY TABLE FORK 1 DOZEN</t>
  </si>
  <si>
    <t>REGENCY TABLE KNIFE 1 DOZEN</t>
  </si>
  <si>
    <t>ALUMINUM ROLLING PIN 18 1 EACH</t>
  </si>
  <si>
    <t>WOODEN ROLLING PIN 15 1 EACH</t>
  </si>
  <si>
    <t>WOODEN ROLLING PIN 18 1 EACH</t>
  </si>
  <si>
    <t>SCRAPER RUBBER 16 1 EACH</t>
  </si>
  <si>
    <t>COFFEE POT STAINLESS STEEL SUPERSERV WITH PUSH BUTTON 1 EACH</t>
  </si>
  <si>
    <t>BOTTLE SQUEEZE 12 OUNCE CLEAR 6 COUNT</t>
  </si>
  <si>
    <t>SQUEEZE BOTTLE WIDEMOUTH CLEAR 16OZ 6 COUNT</t>
  </si>
  <si>
    <t>BOTTLE SQUEEZE 12 OUNCE RED 6 COUNT</t>
  </si>
  <si>
    <t>SQUEEZE BOTTLE 12 OUNCE YELLOW 6 COUNT</t>
  </si>
  <si>
    <t>SAUCE CUP 2.5 OUNCE 1 DOZEN</t>
  </si>
  <si>
    <t>CHAFER FULL SIZE STACKABLE WITH STAINLESS STEEL 1 COUNT</t>
  </si>
  <si>
    <t>SCOOP CLEAR POLYCARBONATE 12 OUNCE 1 EACH</t>
  </si>
  <si>
    <t>SCOOP CLEAR POLYCARBONATE 24 OUNCE 1 EACH</t>
  </si>
  <si>
    <t>SHELLEY TEASPOON CLEAR PACK 1 DOZEN</t>
  </si>
  <si>
    <t>SHELLEY BOUILLON SPOON 1 DOZEN</t>
  </si>
  <si>
    <t>SHELLEY DESSERT SPOON 1 DOZEN</t>
  </si>
  <si>
    <t>SHELLEY ICED TEASPOON 1 DOZEN</t>
  </si>
  <si>
    <t>SHELLEY DINNER FORK 1 DOZEN</t>
  </si>
  <si>
    <t>SHELLEY OYSTER FORK 1 DOZEN</t>
  </si>
  <si>
    <t>KNIFE SHELLEY DINNER 1 DOZEN</t>
  </si>
  <si>
    <t>STRAINER 11.75 ROUND HANDLE STAINLESS STEEL 1 COUNT</t>
  </si>
  <si>
    <t>SWIRL SHAKER 6 OZ 3 DOZEN</t>
  </si>
  <si>
    <t>FLASK STAINLESS STEEL VACUUM 1.0L 12 COUNT</t>
  </si>
  <si>
    <t>VACUUM FLASK STAINLESS STEEL 0.7L 1 EACH</t>
  </si>
  <si>
    <t>PAN FULL SIZE 2 1/2 1 EACH</t>
  </si>
  <si>
    <t>PAN FULL SIZE 4 1 EACH</t>
  </si>
  <si>
    <t>PAN FULL SIZE 6 1 EACH</t>
  </si>
  <si>
    <t>PAN 1/9 SIZE ANTI JAM 2.5 1 COUNT</t>
  </si>
  <si>
    <t>PAN 1/9 SIZE 4 1 EACH</t>
  </si>
  <si>
    <t>PAN 1/6 SIZE ANTIJAM 2.5 1 COUNT</t>
  </si>
  <si>
    <t>PAN 1/6 SIZE 4 1 EACH</t>
  </si>
  <si>
    <t>PAN 1/6 SIZE 6 1 EACH</t>
  </si>
  <si>
    <t>PAN 1/4 SIZE ANTIJAM 1 COUNT</t>
  </si>
  <si>
    <t>PAN 1/4 SIZE 4 1 EACH</t>
  </si>
  <si>
    <t>PAN 1/4 SIZE 6 ANTIJAM 1 COUNT</t>
  </si>
  <si>
    <t>PAN 1/3 SIZE 2 1/2 1 EACH</t>
  </si>
  <si>
    <t>PAN 1/3 SIZE 4 1 EACH</t>
  </si>
  <si>
    <t>PAN 1/3 SIZE 6 1 EACH</t>
  </si>
  <si>
    <t>PAN 1/2 SIZE 2 1/2 1 EACH</t>
  </si>
  <si>
    <t>PAN 1/2 SIZE 4 1 EACH</t>
  </si>
  <si>
    <t>PAN 1/2 SIZE 6 1 EACH</t>
  </si>
  <si>
    <t>POURER PLASTIC SCREENED 1 DOZEN</t>
  </si>
  <si>
    <t>SPOODLE SOLID RED HANDLE 1 COUNT</t>
  </si>
  <si>
    <t>PORTION CONTROLLERS SOLID GREEN HANDLE 1 EACH</t>
  </si>
  <si>
    <t>SPOODLE SOLID 6 OUNCE BLACK HANDLE 1 COUNT</t>
  </si>
  <si>
    <t>SPOODLE SOLID 8 OUNCE BLUE HANDLE 1 COUNT</t>
  </si>
  <si>
    <t>SPAGHETTI SPRING TONG 6 1 EACH</t>
  </si>
  <si>
    <t>STAINLESS STEEL SKIMMER 1 EACH</t>
  </si>
  <si>
    <t>SCRUBBER STAINLESS STEEL POT 1 DOZEN</t>
  </si>
  <si>
    <t>TONG SPRING 12 INCH 1MM 1 EACH</t>
  </si>
  <si>
    <t>TONG SPRING 9 1MM 1 EACH</t>
  </si>
  <si>
    <t>PAN FULL SIZE NOTCHED COVER 1 EACH</t>
  </si>
  <si>
    <t>1/9 SIZE NOTCHED LIDS 1 EACH</t>
  </si>
  <si>
    <t>PAN 1/6 SIZE NOTCHED COVER 1 EACH</t>
  </si>
  <si>
    <t>COVER NOTCHED 1/4 SIZE PAN 1 COUNT</t>
  </si>
  <si>
    <t>PAN 1/3 SIZE NOTCHED COVER 1 EACH</t>
  </si>
  <si>
    <t>PAN 1/2 SIZE NOTCHED COVER 1 EACH</t>
  </si>
  <si>
    <t>STAINLESS STEEL TURNER WITH FLEXIBLE BLADE 1 EACH</t>
  </si>
  <si>
    <t>COVER STEAM TABLE ROLL 1 COUNT</t>
  </si>
  <si>
    <t>CARAFE 1LT BLACK &amp; STAINLESS STEEL 1 EACH</t>
  </si>
  <si>
    <t>CARAFE BLACK &amp; STAINLESS STEEL 0.70 LITER 1 EACH</t>
  </si>
  <si>
    <t>TABLE BELL CHROME PLATED 1 EACH</t>
  </si>
  <si>
    <t>THERMOMETER CANDY/DEEP-FRY 2 DIAL 1 EACH</t>
  </si>
  <si>
    <t>THERMOMETER WATER PROOF DIGITAL 1 COUNT</t>
  </si>
  <si>
    <t>THERMOMETER FROTHING ONE 3/4 INCHES DIAL 1 EACH</t>
  </si>
  <si>
    <t>THERMOMETER OVEN 2 DIAL 1 EACH</t>
  </si>
  <si>
    <t>THERMOMETER POCKET 1 DIAL 0/220D 1 EACH</t>
  </si>
  <si>
    <t>THERMOMETER POCKET 1 DIAL 50/500 1 EACH</t>
  </si>
  <si>
    <t>THERMOMETER REFRIGERATED 2 DIAL 1 EACH</t>
  </si>
  <si>
    <t>TIMER MECHANICAL 1 EACH</t>
  </si>
  <si>
    <t>TORTILLA WARMER 1 EACH</t>
  </si>
  <si>
    <t>TONGS WITH PLASTIC HANDLE 12 INCH 1 EACH</t>
  </si>
  <si>
    <t>STAND TRAY CHROME WITH BARS 37 1 EACH</t>
  </si>
  <si>
    <t>SERVER BRUSHED NICKEL ONE LITER 1 EACH</t>
  </si>
  <si>
    <t>SERVER BRUSHED COPPER 1 EACH</t>
  </si>
  <si>
    <t>UTILITY PAIL 13 QUART 1 EACH</t>
  </si>
  <si>
    <t>SCALE 2 POUND 7 DIAL 1 EACH</t>
  </si>
  <si>
    <t>ACRYLIC WINE COOLER 1 EACH</t>
  </si>
  <si>
    <t>WIRE CHAFER STAND COLLAPSIBLE 1 EACH</t>
  </si>
  <si>
    <t>SCRAPER WOOD HANDLE DOUGH 6X3 1 EACH</t>
  </si>
  <si>
    <t>WINDSOR MEDIUM TEASPOON 2 DOZEN</t>
  </si>
  <si>
    <t>WINDSOR MEDIUM BOUILLON SPOON 2 DOZEN</t>
  </si>
  <si>
    <t>WINDSOR MEDIUM ICE TEASPOON 2 DOZEN</t>
  </si>
  <si>
    <t>WINDSOR MEDIUM DINNER FORK 2 DOZEN</t>
  </si>
  <si>
    <t>WINDSOR MEDIUM SALAD FORK 2 DOZEN</t>
  </si>
  <si>
    <t>WINDSOR MEDIUM DINNER KNIFE 1 DOZEN</t>
  </si>
  <si>
    <t>PITCHER PLASTIC 32 OUNCE 1 EACH</t>
  </si>
  <si>
    <t>PITCHER WATER 60 OUNCE POLYCARBONATE 1 EACH</t>
  </si>
  <si>
    <t>WOOD HANDLED 13 POT FORK 1 EACH</t>
  </si>
  <si>
    <t>WOOD HANDLE POT FORK 21 INCH 1 EACH</t>
  </si>
  <si>
    <t>WHISKEY POURER WITH OUT COLLAR 1 DOZEN</t>
  </si>
  <si>
    <t>WOOD HANDLE PIZZA /PIE SERVER 1 EACH</t>
  </si>
  <si>
    <t>SERRATED CUTTER 7 1 EACH</t>
  </si>
  <si>
    <t>WOOD SPOON 14 1 EACH</t>
  </si>
  <si>
    <t>WOOD SPOON 18 1 EACH</t>
  </si>
  <si>
    <t>TURNER PERFORATED FLEXIBLE WOOD HANDLE 10X3 1 EACH</t>
  </si>
  <si>
    <t>TURNER SOLID 4X8 WOOD HANDLE 1 EACH</t>
  </si>
  <si>
    <t>VERTEX CHINA</t>
  </si>
  <si>
    <t>ARGYLE CUP WHITE 7 OUNCE 3 DOZEN</t>
  </si>
  <si>
    <t>ARGYLE FRUIT BOWL WHITE 5 OUNCE 3 DOZEN</t>
  </si>
  <si>
    <t>ARGYLE PLATTER ROLLED EDGE WHITE 9.75 2 DOZEN</t>
  </si>
  <si>
    <t>ARGYLE PLATTER ROLLED EDGE WHITE 11.5 1 DOZEN</t>
  </si>
  <si>
    <t>ARGYLE PLATE ROLLED EDGE WHITE 10.25 1 DOZEN</t>
  </si>
  <si>
    <t>ARGYLE SAUCER WHITE 6 3 DOZEN</t>
  </si>
  <si>
    <t>ARGYLE PLATE ROLLED EDGE WHITE 12 INCH 1 DOZEN</t>
  </si>
  <si>
    <t>ARGYLE PLATE ROLLED EDGE 5.5 WHITE 3 DOZEN</t>
  </si>
  <si>
    <t>ARGYLE PLATE ROLLED EDGE WHITE 6.5 3 DOZEN</t>
  </si>
  <si>
    <t>ARGYLE PLATE ROLLED EDGE WHITE 7.25 3 DOZEN</t>
  </si>
  <si>
    <t>ARGYLE PLATE ROLLED EDGE WHITE 9 2 DOZEN</t>
  </si>
  <si>
    <t>ARGYLE PLATE ROLLED EDGE WHITE 9.75 2 DOZEN</t>
  </si>
  <si>
    <t>ASHTRAY 3 SNUFF WHITE PORCELAIN 6 DOZEN</t>
  </si>
  <si>
    <t>CATALINA GRAPEFRUIT BOWL WHITE 12 OUNCE 3 DOZEN</t>
  </si>
  <si>
    <t>CATALINA FRUIT BOWL WHITE 4.63X4.75 3 DOZEN</t>
  </si>
  <si>
    <t>CATALINA PLATTER NARROW RIM WHITE 9.75 2 DOZEN</t>
  </si>
  <si>
    <t>CATALINA PLATTER NARROW RIM WHITE 11.5 1 DOZEN</t>
  </si>
  <si>
    <t>CATALINA PLATTER NARROW RIM WHITE 13.25 1 DOZEN</t>
  </si>
  <si>
    <t>CATALINA PLATE NARROW RIM WHITE 10.5 1 DOZEN</t>
  </si>
  <si>
    <t>CATALINA NAPPIE WHITE 16 OUNCE 3 DOZEN</t>
  </si>
  <si>
    <t>CATALINA NAPPIE WHITE 10 OUNCE 3 DOZEN</t>
  </si>
  <si>
    <t>CATALINA BOUILLON WHITE 7 OUNCE 3 DOZEN</t>
  </si>
  <si>
    <t>CATALINA PLATE NARROW RIM WHITE 5.5 3 DOZEN</t>
  </si>
  <si>
    <t>CATALINA PLATE NARROW RIM WHITE 6.5 3 DOZEN</t>
  </si>
  <si>
    <t>CATALINA PLATE NARROW RIM WHITE 7.5 3 DOZEN</t>
  </si>
  <si>
    <t>CATALINA PLATE NARROW RIM WHITE 9 2 DOZEN</t>
  </si>
  <si>
    <t>CREAMER WHITE 3 OUNCE 3 DOZEN</t>
  </si>
  <si>
    <t>VISTA COLLECTION CREAMER WHITE 5 OUNCE 2 DOZEN</t>
  </si>
  <si>
    <t>CARAVAN CUP TALL 11 OUNCE BROWN SPECKLED DOUBLE BAND 3 DOZEN</t>
  </si>
  <si>
    <t>CARAVAN FRUIT BROWN SPECKLED DOUBLE BAND 4.75 OUNCE 3 DOZEN</t>
  </si>
  <si>
    <t>CARAVAN PLATTER NARROW RIM #6 BROWN SPECKLED DOUBLE BAND 9 1/2 INCHES 2 DOZEN</t>
  </si>
  <si>
    <t>CARAVAN PLATTER NARROW RIM #8 BROWN SPECKLED DOUBLE BAND 11.5 1 DOZEN</t>
  </si>
  <si>
    <t>CARAVAN PLATTER NARROW RIM 13.25 BROWN SPECKLED DOUBLE BAND 1 DOZEN</t>
  </si>
  <si>
    <t>CARAVAN NAPPIE RE3.5 12.5 OZ 3 DOZEN</t>
  </si>
  <si>
    <t>CARAVAN PLATE NARROW RIM #10 CAN BROWN SPECKLED DOUBLE BAND 1 DOZEN</t>
  </si>
  <si>
    <t>CARAVAN MUG 3.125 BROWN SPECKLED DOUBLE BAND 8 OUNCE 3 DOZEN</t>
  </si>
  <si>
    <t>CARAVAN BOUILLON 7.25 OUNCE BROWN SPECKLED DOUBLE BAND 3 DOZEN</t>
  </si>
  <si>
    <t>CARAVAN PLATE NARROW RIM #3 BROWN SPECKLED DOUBLE BAND 5.5 3 DOZEN</t>
  </si>
  <si>
    <t>CARAVAN PLATE NARROW RIM #4 BROWN SPECKLED DOUBLE BAND 6.5 3 DOZEN</t>
  </si>
  <si>
    <t>CARAVAN PLATE NARROW RIM #5 BROWN SPECKLED DOUBLE BAND 7.25 3 DOZEN</t>
  </si>
  <si>
    <t>CARAVAN PLATE NARROW RIM #7 BROWN SPECKLED DOUBLE BAND 9 2 DOZEN</t>
  </si>
  <si>
    <t>CARAVAN PLATE NARROW RIM #8 BROWN SPECKLED DOUBLE BAND 9 1/2 INCHES 2 DOZEN</t>
  </si>
  <si>
    <t>CALIFORNIA SCULPTURED RIM CUP AMERICAN WHITE 7OZ 3 DOZEN</t>
  </si>
  <si>
    <t>CALIFORNIA SCULPTURED RIM FRUIT BOWL AMERICAN WHITE 4.75 OUNCE 3 DOZEN</t>
  </si>
  <si>
    <t>CALIFORNIA SCULPTURED RIM PLATTER AMERICAN WHITE 9.63 2 DOZEN</t>
  </si>
  <si>
    <t>CALIFORNIA SCULPTURED RIM PLATTER AMERICAN WHITE 11.63 1 DOZEN</t>
  </si>
  <si>
    <t>CALIFORNIA SCULPTURED RIM PLATE AMERICAN WHITE 10.75 1 DOZEN</t>
  </si>
  <si>
    <t>CALIFORNIA SCULPTURED RIM SAUCER AMERICAN WHITE 5 INCH 3 DOZEN</t>
  </si>
  <si>
    <t>CALIFORNIA SCULPTURED RIM BOUILLON AMERICAN WHITE 7.25 3 DOZEN</t>
  </si>
  <si>
    <t>CALIFORNIA SCULPTURED RIM PLATE AMERICAN WHITE 6.38 3 DOZEN</t>
  </si>
  <si>
    <t>CALIFORNIA SCULPTURED RIM PLATE AMERICAN WHITE 7.38 3 DOZEN</t>
  </si>
  <si>
    <t>CALIFORNIA SCULPTURED RIM PLATE AMERICAN WHITE 9 2 DOZEN</t>
  </si>
  <si>
    <t>CALIFORNIA SCULPTURED RIM PLATE AMERICAN WHITE 9.63 2 DOZEN</t>
  </si>
  <si>
    <t>NEWPORT MUG CARAMEL 8 OUNCE 3 DOZEN</t>
  </si>
  <si>
    <t>ONION SOUP CROCK BROWN / CARAMEL 10 OUNCE 2 DOZEN</t>
  </si>
  <si>
    <t>VISTA COLLECTION ONION SOUP CROCK AMERICAN WHITE 4X2 2 DOZEN</t>
  </si>
  <si>
    <t>ONION SOUP CROCK SOLID BROWN 12 OUNCE 2 DOZEN</t>
  </si>
  <si>
    <t>VISTA COLLECTION AMERICAN WHITE FLUTED RAMEKIN 2OZ 6 DOZEN</t>
  </si>
  <si>
    <t>CATALINA RAMEKIN PORCELAIN FLUTED 3 OUNCE 4 DOZEN</t>
  </si>
  <si>
    <t>ROYAL NARROW RIM FRUIT BOWL AMERICAN WHITE 4.75 OUNCE 3 DOZEN</t>
  </si>
  <si>
    <t>ROYAL NARROW RIM PLATTER AMERICAN WHITE 9 1/2 INCHES 2 DOZEN</t>
  </si>
  <si>
    <t>ROYAL NARROW RIM PLATTER AMERICAN WHITE 11.5 1 DOZEN</t>
  </si>
  <si>
    <t>ROYAL NARROW RIM PLATTER AMERICAN WHITE 13.25 1 DOZEN</t>
  </si>
  <si>
    <t>ROYAL NARROW RIM PLATE AMERICAN WHITE 10.5 1 DOZEN</t>
  </si>
  <si>
    <t>ROYAL NARROW RIM PLATE AMERICAN WHITE 5.5 3 DOZEN</t>
  </si>
  <si>
    <t>ROYAL NARROW RIM PLATE AMERICAN WHITE 6.5 3 DOZEN</t>
  </si>
  <si>
    <t>ROYAL NARROW RIM PLATE AMERICAN WHITE 7.25 3 DOZEN</t>
  </si>
  <si>
    <t>ROYAL NARROW RIM PLATE AMERICAN WHITE #7 9 2 DOZEN</t>
  </si>
  <si>
    <t>SAUSALITO COLLECTION GRAPEFRUIT BOWL 11 OUNCE 3 DOZEN</t>
  </si>
  <si>
    <t>SAUSALITO COLLECTION FRUIT BOWL 5.5 OUNCE 3 DOZEN</t>
  </si>
  <si>
    <t>SAUSALITO COLLECTION PLATE 10.25 1 DOZEN</t>
  </si>
  <si>
    <t>SAUSALITO COLLECTION STACKING CUP 8 OUNCE 3 DOZEN</t>
  </si>
  <si>
    <t>SAUSALITO COLLECTION SAUCER 5.5 3 DOZEN</t>
  </si>
  <si>
    <t>SAUSALITO COLLECTION PASTA BOWL 10 OUNCE 2 DOZEN</t>
  </si>
  <si>
    <t>SAUSALITO COLLECTION BOUILLON 7 OUNCE 3 DOZEN</t>
  </si>
  <si>
    <t>SAUSALITO COLLECTION PLATE 6.25 3 DOZEN</t>
  </si>
  <si>
    <t>SAUSALITO COLLECTION PLATE 7.25 3 DOZEN</t>
  </si>
  <si>
    <t>SAUSALITO COLLECTION PLATE 9 2 DOZEN</t>
  </si>
  <si>
    <t>SAUSALITO COLLECTION PLATE 9.75 2 DOZEN</t>
  </si>
  <si>
    <t>SUGAR PACKET HOLDER WHITE 3.5X2.63 4 DOZEN</t>
  </si>
  <si>
    <t>VISTA COLLECTION AMERICAN WHITE NARROW RIM FRUIT 4 OZ 3 DOZEN</t>
  </si>
  <si>
    <t>VISTA COLLECTION PLATE AMERICAN WHITE NARROW RIM 9 1/2 INCHES 2 DOZEN</t>
  </si>
  <si>
    <t>VISTA COLLECTION PLATTER AMERICAN WHITE NARROW RIM 11. 1 DOZEN</t>
  </si>
  <si>
    <t>VISTA COLLECTION PLATTER AMERICAN WHITE NARROW RIM 13 1 DOZEN</t>
  </si>
  <si>
    <t>VISTA COLLECTION PLATE AMERICAN NARROW RIM 10 INCH 1 DOZEN</t>
  </si>
  <si>
    <t>VISTA COLLECTION AMERICAN WHITE SAUCER ROYAL 3 DOZEN</t>
  </si>
  <si>
    <t>VISTA COLLECTION AMERICAN WHITE PLATE NARROW RIM 5.5 3 DOZEN</t>
  </si>
  <si>
    <t>VISTA COLLECTION AMERICAN WHITE PLATE NARROW RIM 3 DOZEN</t>
  </si>
  <si>
    <t>VISTA COLLECTION AMERICAN WHITE PLATE NARROW RIM 7.25 3 DOZEN</t>
  </si>
  <si>
    <t>VISTA COLLECTION AMERICAN WHITE PLATE NARROW RIM 9 2 DOZEN</t>
  </si>
  <si>
    <t>VISTA COLLECTION AMERICAN WHITE PLATE NARROW RIM 9.75 2 DOZEN</t>
  </si>
  <si>
    <t>CATALINA VENTURE MUG WHITE 9 OUNCE 3 DOZEN</t>
  </si>
  <si>
    <t>VISTA COLLECTION AMERICAN WHITE VENTURE MUG 8 OUNCE 3 DOZEN</t>
  </si>
  <si>
    <t>VISTA COLLECTION AMERICAN WHITE CUP TALL 7 3 DOZEN</t>
  </si>
  <si>
    <t>VISTA COLLECTION AMERICAN WHITE ROLLED EDGE &amp; NARROW RIM GRAPEFRUIT 10 OZ 3 DOZEN</t>
  </si>
  <si>
    <t>VISTA COLLECTION AMERICAN WHITE ROLLED EDGE FRUIT PIE 5 OUNCE 3 DOZEN</t>
  </si>
  <si>
    <t>VISTA COLLECTION AMERICAN WHITE PLATTER ROLLED EDGE 10 3/8 2 DOZEN</t>
  </si>
  <si>
    <t>VISTA COLLECTION AMERICAN WHITE PLATTER ROLLED EDGE #8 11.5 1 DOZEN</t>
  </si>
  <si>
    <t>VISTA COLLECTION CASSEROLE WITH HANDLES AMERICAN WHITE ROLLED EDGE 2 DOZEN</t>
  </si>
  <si>
    <t>VISTA COLLECTION AMERICAN WHITE PLATTER ROLLED EDGE #9 12.5 1 DOZEN</t>
  </si>
  <si>
    <t>VISTA COLLECTION AMERICAN WHITE NAPPIE 12.5 OZ 3 DOZEN</t>
  </si>
  <si>
    <t>VISTA COLLECTION AMERICAN WHITE PLATE #10 CAN 1 DOZEN</t>
  </si>
  <si>
    <t>VISTA COLLECTION AMERICAN WHITE NAPPIE 18 OUNCES 3 DOZEN</t>
  </si>
  <si>
    <t>VISTA COLLECTION AMERICAN WHITE SAUCER UNDECORATED 6 1/8 3 DOZEN</t>
  </si>
  <si>
    <t>VISTA COLLECTION AMERICAN WHITE PLATE ROLLED EDGE 12 INCH 1 DOZEN</t>
  </si>
  <si>
    <t>VISTA COLLECTION AMERICAN WHITE DEEP BOWL 14 OUNCE 1 DOZEN</t>
  </si>
  <si>
    <t>VISTA COLLECTION AMERICAN WHITE NAPPIE 10 OZ 3 DOZEN</t>
  </si>
  <si>
    <t>VISTA COLLECTION AMERICAN WHITE DEEP BOWL 8 OUNCE 1 DOZEN</t>
  </si>
  <si>
    <t>VISTA COLLECTION AMERICAN WHITE DEEP BOWL 20 OZ 1 DOZEN</t>
  </si>
  <si>
    <t>VISTA COLLECTION AMERICAN WHITE PASTA BOWL RIM SOUP 10 OZ 2 DOZEN</t>
  </si>
  <si>
    <t>VISTA COLLECTION AMERICAN WHITE ROLLED EDGE FRUIT PIE 3.5 OUNCE 3 DOZEN</t>
  </si>
  <si>
    <t>VISTA COLLECTION AMERICAN WHITE PLATTER ROLLED EDGE 9 3/8 2 DOZEN</t>
  </si>
  <si>
    <t>VISTA COLLECTION AMERICAN WHITE CUP 3.5 OUNCE 3 DOZEN</t>
  </si>
  <si>
    <t>VISTA COLLECTION AMERICAN WHITE SAUCER UNDECORATED 5 5/8 3 DOZEN</t>
  </si>
  <si>
    <t>VISTA COLLECTION AMERICAN WHITE ROLLED EDGE &amp; NARROW RIM BOUILLON 8 OUNCE 3 DOZEN</t>
  </si>
  <si>
    <t>VISTA COLLECTION AMERICAN WHITE PLATE #3 5.5 3 DOZEN</t>
  </si>
  <si>
    <t>VISTA COLLECTION AMERICAN WHITE PLATE #4 6 5/8 3 DOZEN</t>
  </si>
  <si>
    <t>VISTA COLLECTION AMERICAN WHITE PLATE 6.25 3 DOZEN</t>
  </si>
  <si>
    <t>VISTA COLLECTION AMERICAN WHITE PLATE #5 7 1/8 3 DOZEN</t>
  </si>
  <si>
    <t>VISTA COLLECTION AMERICAN WHITE PLATE #7 9 2 DOZEN</t>
  </si>
  <si>
    <t>VISTA COLLECTION AMERICAN WHITE PASTA/SALAD BOWL 48 OUNCE 1 DOZEN</t>
  </si>
  <si>
    <t>VISTA COLLECTION AMERICAN WHITE PLATE #8 9.75 2 DOZEN</t>
  </si>
  <si>
    <t>WINDSOR SCULPTURED RIM CUP BONE WHITE 7 OUNCE 3 DOZEN</t>
  </si>
  <si>
    <t>WINDSOR SCULPTURED RIM GRAPEFRUIT BONE WHITE 5.5 OUNCE 3 DOZEN</t>
  </si>
  <si>
    <t>WINDSOR SCULPTURED RIM FRUIT BOWL BONE WHITE 4.38OZ 3 DOZEN</t>
  </si>
  <si>
    <t>WINDSOR SCULPTURED RIM PLATE BONE WHITE 10.5 1 DOZEN</t>
  </si>
  <si>
    <t>WINDSOR SCULPTURED RIM SAUCER BONE WHITE 5.38 3 DOZEN</t>
  </si>
  <si>
    <t>WINDSOR SCULPTURED RIM SOUP BOWL BONE WHITE 14.75 2 DOZEN</t>
  </si>
  <si>
    <t>WINDSOR SCULPTURED RIM BOUILLON 7 OUNCE BONE WHITE 3 DOZEN</t>
  </si>
  <si>
    <t>WINDSOR SCULPTURED RIM PLATE BONE WHITE 5.5 3 DOZEN</t>
  </si>
  <si>
    <t>WINDSOR SCULPTURED RIM PLATE BONE WHITE 6.5 3 DOZEN</t>
  </si>
  <si>
    <t>WINDSOR SCULPTURED RIM PLATE BONE WHITE 7.13 3 DOZEN</t>
  </si>
  <si>
    <t>WINDSOR SCULPTURED RIM PLATE BONE WHITE 9.38 2 DOZEN</t>
  </si>
  <si>
    <t>VISTA COLLECTION WELSH RAREBIT OVAL AMERICAN WHITE 10OZ 2 DOZEN</t>
  </si>
  <si>
    <t>VISTA COLLECTION WELSH RAREBIT OVAL AMERICAN WHITE 12OZ 2 DOZEN</t>
  </si>
  <si>
    <t>WELSH RAREBIT OVAL CARAMEL 8 OUNCE 3 DOZEN</t>
  </si>
  <si>
    <t>VITA MIX CORP.</t>
  </si>
  <si>
    <t>BLENDER VARIABLE SPEED WITH BLACK BASE 1 COUNT</t>
  </si>
  <si>
    <t>BLADE ICE ASSEMBLY 1 COUNT</t>
  </si>
  <si>
    <t>BLENDER 2 STEP TIMER DRINK MACHINE 1 COUNT</t>
  </si>
  <si>
    <t>CONTAINER WITH LID 48OZ STACKABLE WITH BLADE 1 COUNT</t>
  </si>
  <si>
    <t>BLENDER BAR BOSS W/48OZ CONTAINER 1 COUNT</t>
  </si>
  <si>
    <t>DRINK MACHINE 2 SPEED 64 OUNCE CONTAINER 1 COUNT</t>
  </si>
  <si>
    <t>CONTAINER WITH LID 64OZ POLYCARBONATE WITH BLADE 1 COUNT</t>
  </si>
  <si>
    <t>SOCKET DRIVE KIT FOR TOUCH AND GO 1 COUNT</t>
  </si>
  <si>
    <t>VOLLRATH COMPANY INC.</t>
  </si>
  <si>
    <t>SLICER TOMATO PRO..25 1 COUNT</t>
  </si>
  <si>
    <t>BLADE PRO. TOMATO ASSEMBLY 1 COUNT</t>
  </si>
  <si>
    <t>SCRAPER GRILL 18 TENDER 1 COUNT</t>
  </si>
  <si>
    <t>BLADE REPLACEMENT SINGLE FOR. GRILL TENDER 6 COUNT</t>
  </si>
  <si>
    <t>SCRAPER PAN POLY. WHITE 1 EACH</t>
  </si>
  <si>
    <t>BOX CUTLERY GRAY 1 COUNT</t>
  </si>
  <si>
    <t>SCOOPER TOMATO KING 2PK / CARD 1 COUNT</t>
  </si>
  <si>
    <t>DICER INSTA CUT.25 TABLETOP 1 COUNT</t>
  </si>
  <si>
    <t>DICER INSTA CUTS .5 TABLETOP 1 COUNT</t>
  </si>
  <si>
    <t>REDCO 8 SECTION WEDGER 1 EACH</t>
  </si>
  <si>
    <t>BLADE ASSEMBLY 1/4 INSTA CUT 1 COUNT</t>
  </si>
  <si>
    <t>ASSEMBLY REDCO BLADE 3/8DICE 1 COUNT</t>
  </si>
  <si>
    <t>DICER 1/2 ASSEMBLY 1 COUNT</t>
  </si>
  <si>
    <t>SLICER INSTA SLICE 3/16 1 COUNT</t>
  </si>
  <si>
    <t>GREASE WHITE PETRO GEL. 4 OUNCE 1 COUNT</t>
  </si>
  <si>
    <t>BUS BOX BUDGET GRAY 1 COUNT</t>
  </si>
  <si>
    <t>BUS BOX DELUXE GRAY 1 COUNT</t>
  </si>
  <si>
    <t>COVER BUS BOX 15X20 GRAY 1 EACH</t>
  </si>
  <si>
    <t>BUS BOX 7 GRAY 15X20X7 1 COUNT</t>
  </si>
  <si>
    <t>DOLLY DISHWASHER WITH OUT HANDLE 1 COUNT</t>
  </si>
  <si>
    <t>SCOOPER TATER KING REDCO 1 COUNT</t>
  </si>
  <si>
    <t>SLICER CUBE KING .75 REDCO 1 COUNT</t>
  </si>
  <si>
    <t>PLATE ADAPTOR W/2 8 3/8HOLE 1 COUNT</t>
  </si>
  <si>
    <t>TRAY DRAIN PAN STAINLESS STEEL FULL SIZE 1 COUNT</t>
  </si>
  <si>
    <t>TRAY DRAIN PAN STAINLESS STEEL 1/2 SIZE 1 COUNT</t>
  </si>
  <si>
    <t>GRATE WIRE FOR HALF SIZE PAN 1 EACH</t>
  </si>
  <si>
    <t>PAN 1/3 SIZE FALSE BOTTOM SUPER 1 EACH</t>
  </si>
  <si>
    <t>JAR GLASS 6 OUNCE W/TOP 12 COUNT</t>
  </si>
  <si>
    <t>BOIL IN BAG 6X8 100 COUNT</t>
  </si>
  <si>
    <t>SHAKER CHEESE 4 OUNCE ROUND STAINLESS STEEL 12 COUNT</t>
  </si>
  <si>
    <t>BATTER BOSS W/LEGS 1 COUNT</t>
  </si>
  <si>
    <t>PAN STEAM TABLE STAINLESS STEEL FULL SIZE 2.5 1 COUNT</t>
  </si>
  <si>
    <t>PAN STEAM TABLE PERFORATED FULL 2.5 1 COUNT</t>
  </si>
  <si>
    <t>PAN STMB STAINLESS STEEL FULL SIZE 4 1 COUNT</t>
  </si>
  <si>
    <t>PAN STEAM TABLE PERFORATED STAINLESS STEEL FULL 4 1 COUNT</t>
  </si>
  <si>
    <t>PAN STEAM TABLE STAINLESS STEEL FULL SIZE 6 1 COUNT</t>
  </si>
  <si>
    <t>HANDLE LARGE SKILLET PROFESSIONAL 6.5 1 COUNT</t>
  </si>
  <si>
    <t>HANDLE COOLING MEDIUM PROFESSIONAL 4.5 1 COUNT</t>
  </si>
  <si>
    <t>HANDLE COOLING SMALL PROFESSIONAL 4 1 COUNT</t>
  </si>
  <si>
    <t>PAN STEAM TABLE STAINLESS STEEL HALF SIZE 2.5 1 COUNT</t>
  </si>
  <si>
    <t>PAN STEAM TABLE STAINLESS STEEL HALF SIZE 4 1 COUNT</t>
  </si>
  <si>
    <t>PAN STEAM TABLE PERFORATED STAINLESS STEEL HALF SIZE 1 COUNT</t>
  </si>
  <si>
    <t>PAN STEAM TABLE STAINLESS STEEL HALF SIZE 6 1 COUNT</t>
  </si>
  <si>
    <t>PAN STEAM TABLE STAINLESS STEEL 1/3 SIZE 2.5 1 COUNT</t>
  </si>
  <si>
    <t>PAN STEAM TABLE STAINLESS STEEL 1/3 SIZE 4 1 COUNT</t>
  </si>
  <si>
    <t>PAN STEAM TABLE STAINLESS STEEL 1/3 SIZE 6 1 COUNT</t>
  </si>
  <si>
    <t>PAN STEAM TABLE STAINLESS STEEL 1/4 SIZE 2.5 1 COUNT</t>
  </si>
  <si>
    <t>PAN STEAM TABLE STAINLESS STEEL 1/4 SIZE 4 1 COUNT</t>
  </si>
  <si>
    <t>PAN STEAM TABLE STAINLESS STEEL 1/4 SIZE 6 1 COUNT</t>
  </si>
  <si>
    <t>PAN STEAM TABLE STAINLESS STEEL HALF SIZE LONG 4 1 COUNT</t>
  </si>
  <si>
    <t>REDCO BLADE ASSEMBLY 6 SECTION 1 COUNT</t>
  </si>
  <si>
    <t>PAN STEAM TABLE STAINLESS STEEL 1/6 SIZE 2.5 1 COUNT</t>
  </si>
  <si>
    <t>PAN STEAM TABLE STAINLESS STEEL 1/6 SIZE 4 1 COUNT</t>
  </si>
  <si>
    <t>PAN STEAM TABLE STAINLESS STEEL 1/6 SIZE 6 1 COUNT</t>
  </si>
  <si>
    <t>WEDGEMASTER BLADE ASSEMBLY 8 SECTION 1 COUNT</t>
  </si>
  <si>
    <t>PAN STEAM TABLE STAINLESS STEEL 1/9 SIZE 4 1 COUNT</t>
  </si>
  <si>
    <t>PAN 11 QUART 9.5DI WITH COVER 1 COUNT</t>
  </si>
  <si>
    <t>PAN 18 QUART 11 DIAMETER WITH COVER 1 COUNT</t>
  </si>
  <si>
    <t>PAN 27 QUART 12.5DI WITH COVER 1 COUNT</t>
  </si>
  <si>
    <t>PAN 38 QUART 14DI WITH COVER 1 COUNT</t>
  </si>
  <si>
    <t>BAGGER FRENCH FRY RIGHT HAND 1 COUNT</t>
  </si>
  <si>
    <t>BAGGER FRENCH FRY DUAL. HAND 1 COUNT</t>
  </si>
  <si>
    <t>RACK FRENCH FRY 10X18X2.5 1 COUNT</t>
  </si>
  <si>
    <t>PUSHER HEAD BLOCK 3/8 CUTS 1 COUNT</t>
  </si>
  <si>
    <t>BLOCK PUSHER HEAD .25 &amp;.50 1 COUNT</t>
  </si>
  <si>
    <t>BUMPER REDCO 1 COUNT</t>
  </si>
  <si>
    <t>PAN 4 QUART 8 INCH DIAMETER WITH COVER 1 COUNT</t>
  </si>
  <si>
    <t>DISPENSER STRAW WRAPPED 1 COUNT</t>
  </si>
  <si>
    <t>DISPENSER STRAW BULK 1 COUNT</t>
  </si>
  <si>
    <t>FRY PAN NATURAL FINISH PROFESSIONAL 7 1 COUNT</t>
  </si>
  <si>
    <t>FRY PAN NATURAL FINISH PROFESSIONAL 8 INCH 1 COUNT</t>
  </si>
  <si>
    <t>PAN FRY 10 INCH COOL HANDLE NATURAL WEAR-EVER 1 EACH</t>
  </si>
  <si>
    <t>PAN FRY12NTRL FUN SHAPED WEAR-EVER 1 EACH</t>
  </si>
  <si>
    <t>PAN WEAR-EVER FRY 14 NEUTRAL FINISH COOL HANDLE 1 EACH</t>
  </si>
  <si>
    <t>SLICER 10 INCH .25 HORSEPOWER 1 COUNT</t>
  </si>
  <si>
    <t>SLICER 12 INCH .30 HORSEPOWER 1 COUNT</t>
  </si>
  <si>
    <t>VACUUM BAG MESH 8X12 100 COUNT</t>
  </si>
  <si>
    <t>VACUUM BAG SEAL 8X12 100 COUNT</t>
  </si>
  <si>
    <t>MICROWAVE OVEN HEAVY DUTY 1000 WATT 1 COUNT</t>
  </si>
  <si>
    <t>MICROWAVE OVEN MANUAL CONTROL 1 COUNT</t>
  </si>
  <si>
    <t>VACUUM PACK OUT OF CHAMBER 1 COUNT</t>
  </si>
  <si>
    <t>SAUCE PAN WEAR-EVER PREMIER SUPER STRENGTH 4.5QT 1 COUNT</t>
  </si>
  <si>
    <t>SIGN RESERVED TABLETOP 1 DOZEN</t>
  </si>
  <si>
    <t>STOCK POT 12 QUART 1 COUNT</t>
  </si>
  <si>
    <t>STOCK POT PROFESSIONAL 20 QUART 1 COUNT</t>
  </si>
  <si>
    <t>POTS WEAR-EVER STOCK 24 QUART 1 COUNT</t>
  </si>
  <si>
    <t>POTS WEAR-EVER STOCK 30 QUART 1 EACH</t>
  </si>
  <si>
    <t>POTS WEAR-EVER STOCK 40.QT STANDARD 1 COUNT</t>
  </si>
  <si>
    <t>POT WEAR-EVER STOCK 60 QUART ALUMINUM 1 EACH</t>
  </si>
  <si>
    <t>SAUCE POT PROFESSIONAL 14 QUART 1 COUNT</t>
  </si>
  <si>
    <t>SAUCE POT PROFESSIONAL 20 QUART 1 COUNT</t>
  </si>
  <si>
    <t>SAUCE PAN PROFESSIONAL 1.5 QUART 1 COUNT</t>
  </si>
  <si>
    <t>SAUCE PAN PROFESSIONAL 2.75QT 1 COUNT</t>
  </si>
  <si>
    <t>SAUCE PAN PROFESSIONAL 3.75 QUART 1 COUNT</t>
  </si>
  <si>
    <t>SAUCE PAN COVER PROFESSIONAL 1 COUNT</t>
  </si>
  <si>
    <t>SAUCE PAN PROFESSIONAL 4.5 QUART 1 COUNT</t>
  </si>
  <si>
    <t>SAUCE PAN PROFESSIONAL 5.5 QUART 1 COUNT</t>
  </si>
  <si>
    <t>SAUCE PAN PROFESSIONAL 7 QUART 1 COUNT</t>
  </si>
  <si>
    <t>SAUCE PAN PROFESSIONAL 8.5 QUART 1 COUNT</t>
  </si>
  <si>
    <t>SAUCE PAN PROFESSIONAL 10 QUART 1 COUNT</t>
  </si>
  <si>
    <t>SAUCE PAN COVER 12 7/8 1 COUNT</t>
  </si>
  <si>
    <t>BAKE PAN 9.75X13.75X2.25 1 COUNT</t>
  </si>
  <si>
    <t>ROASTER PAN COVER PROFESSIONAL 1 COUNT</t>
  </si>
  <si>
    <t>ROASTER BOTTOM 16X20 PROFESSIONAL 1 COUNT</t>
  </si>
  <si>
    <t>SIGN EMPLOYEES ONLY 1 COUNT</t>
  </si>
  <si>
    <t>SIGN NO SMOKING 1 COUNT</t>
  </si>
  <si>
    <t>SIGN MEN 1 COUNT</t>
  </si>
  <si>
    <t>SIGN WOMEN 1 COUNT</t>
  </si>
  <si>
    <t>SIGN RESTROOM 1 COUNT</t>
  </si>
  <si>
    <t>SIGN THANK YOU 1 COUNT</t>
  </si>
  <si>
    <t>SIGN NO PETS SHOES SHIRT 1 COUNT</t>
  </si>
  <si>
    <t>SIGN EMPLOYEES MUST WASH HANDS 1 COUNT</t>
  </si>
  <si>
    <t>BRACKET WALL HANGER FOR POTATO CUTTER 1 COUNT</t>
  </si>
  <si>
    <t>SERVER CREAMER 3 OUNCE STAINLESS STEEL 24 COUNT</t>
  </si>
  <si>
    <t>SERVER CREAM 5 OUNCE STAINLESS STEEL 12 COUNT</t>
  </si>
  <si>
    <t>STRAINER WEAR-EVER SPAGHETTI ALUMINUM 5QT 1 COUNT</t>
  </si>
  <si>
    <t>CHAFER CLASSIC BRASS OBLONG 1 COUNT</t>
  </si>
  <si>
    <t>CHAFER HEATER UNIVERSAL ELECTRIC 1 COUNT</t>
  </si>
  <si>
    <t>SERVER CREAM 5 OUNCE STAINLESS STEEL GADROON BASE 12 COUNT</t>
  </si>
  <si>
    <t>SERVER CREAMER W/LID 10 OUNCE 12 COUNT</t>
  </si>
  <si>
    <t>SERVER STACKING LID STAINLESS STEEL 10 OUNCE 12 COUNT</t>
  </si>
  <si>
    <t>COVER SERVER HINGED TEA GOOSENECK MIRROR FINISH 12 COUNT</t>
  </si>
  <si>
    <t>BOWL DOUBLE WALL SERVING BGV 2 COUNT</t>
  </si>
  <si>
    <t>SERVER COFFEE 64 OUNCE STAINLESS STEEL PLAIN 1 COUNT</t>
  </si>
  <si>
    <t>BOWL DOUBLE WALL SERVING BEEHIVE 1.7QT 1 COUNT</t>
  </si>
  <si>
    <t>BUCKET STAINLESS STEEL BEEHIVE WINE 1 COUNT</t>
  </si>
  <si>
    <t>CUP SAUCE STAINLESS STEEL 3 OZ. 12 COUNT</t>
  </si>
  <si>
    <t>BUTTER MELTER CHROME STAND COMPLETE 1 DOZEN</t>
  </si>
  <si>
    <t>LADLE STAINLESS STEEL ONE OUNCE 11.31 1 COUNT</t>
  </si>
  <si>
    <t>LADLE STAINLESS STEEL 2 OUNCE 11 1 COUNT</t>
  </si>
  <si>
    <t>LADLE STAINLESS STEEL 4 OUNCE 12 INCH HEAVY DUTY 1 COUNT</t>
  </si>
  <si>
    <t>LADLE STAINLESS STEEL 6OZ 13.75 HEAVY DUTY 1 COUNT</t>
  </si>
  <si>
    <t>LADLE STAINLESS STEEL 8OZ 12.81 1 COUNT</t>
  </si>
  <si>
    <t>HOLDER FUEL WITH COVER 8OZ 1 COUNT</t>
  </si>
  <si>
    <t>SCOOP ALUMINUM 24 OUNCE SIZE 20 1 EACH</t>
  </si>
  <si>
    <t>SCOOP ALUMINUM 40 LOAD OUNCE NSF APPROVED 1 EACH</t>
  </si>
  <si>
    <t>SCOOP ALUMINUM UTILITY 55OZ 1 EACH</t>
  </si>
  <si>
    <t>20+</t>
  </si>
  <si>
    <t>LADLE STAINLESS STEEL 1OZ 10.78 1 COUNT</t>
  </si>
  <si>
    <t>LADLE STAINLESS STEEL 2OZ 11.25 1 COUNT</t>
  </si>
  <si>
    <t>LADLE 3 OUNCE 11.50 1 COUNT</t>
  </si>
  <si>
    <t>LADLE STAINLESS STEEL 4OZ 12.50 1 COUNT</t>
  </si>
  <si>
    <t>LADLE STAINLESS STEEL 6OZ 12.50 1 COUNT</t>
  </si>
  <si>
    <t>LADLE STAINLESS STEEL 8OZ 12.75 1 COUNT</t>
  </si>
  <si>
    <t>LADLE STAINLESS STEEL 12OZ 15.50 1 COUNT</t>
  </si>
  <si>
    <t>LADLE STAINLESS STEEL LONG HANDLED 1.5 OUNCE 1 COUNT</t>
  </si>
  <si>
    <t>SERVER PIE 5.25 STAINLESS STEEL HOLLOW HANDLE 1 COUNT</t>
  </si>
  <si>
    <t>SERVER PASTRY STAINLESS STEEL 11 HOLLOW HANDLE 1 COUNT</t>
  </si>
  <si>
    <t>SPOON SOLID 14 PLASTIC HANDLE 1 COUNT</t>
  </si>
  <si>
    <t>SPOON PERFORATED 14 PLASTIC HANDLE 1 COUNT</t>
  </si>
  <si>
    <t>SOLID SERVING SPOON STAINLESS STEEL 11.63 HOLLOW HANDLE 1 COUNT</t>
  </si>
  <si>
    <t>SERVING SPOON SLOTTED STAINLESS STEEL 1 COUNT</t>
  </si>
  <si>
    <t>SOLID SERVING SPOON STAINLESS STEEL 11 1 COUNT</t>
  </si>
  <si>
    <t>SERVING SPOON PERFORATED STAINLESS STEEL 1 COUNT</t>
  </si>
  <si>
    <t>SKIMMER HEAVY DUTY 6 BLADE 1 EACH</t>
  </si>
  <si>
    <t>SPOON SERVER SOLID STAINLESS STEEL 13 1 COUNT</t>
  </si>
  <si>
    <t>SERVING SPOON PERFORATED STAINLESS STEEL 13 1 COUNT</t>
  </si>
  <si>
    <t>SPOON SLOTTED STAINLESS STEEL 13 1 COUNT</t>
  </si>
  <si>
    <t>SPOON SOLID STAINLESS STEEL 15 1 COUNT</t>
  </si>
  <si>
    <t>SERVING SPOON PERFORATED STAINLESS STEEL 15 1 COUNT</t>
  </si>
  <si>
    <t>SPOON SLOTTED STAINLESS STEEL 15 1 COUNT</t>
  </si>
  <si>
    <t>STRAINER CHINA CAP WEAR-EVER 10 INCH 1 COUNT</t>
  </si>
  <si>
    <t>WHIP PIANO 10 INCH NYLON HANDLE 1 COUNT</t>
  </si>
  <si>
    <t>WHIP PIANO 12 INCH NYLON HANDLE 1 COUNT</t>
  </si>
  <si>
    <t>WHIP PIANO 14 NYLON HANDLE 1 COUNT</t>
  </si>
  <si>
    <t>WHIP PIANO 16 NYLON HANDLE 1 COUNT</t>
  </si>
  <si>
    <t>WHIP PIANO 18 NYLON HANDLE 1 COUNT</t>
  </si>
  <si>
    <t>WHIP FRENCH 12 INCH NYLON HANDLE 1 COUNT</t>
  </si>
  <si>
    <t>WHIP FRENCH NYLON HANDLE 14 1 COUNT</t>
  </si>
  <si>
    <t>WHIP FRENCH 16 NYLON HANDLE 1 COUNT</t>
  </si>
  <si>
    <t>WHIP FRENCH 18 NYLON HANDLE 1 COUNT</t>
  </si>
  <si>
    <t>WHIP FRENCH 24 NYLON HANDLE 1 COUNT</t>
  </si>
  <si>
    <t>TONG POM. STAINLESS STEEL 6 1 COUNT</t>
  </si>
  <si>
    <t>60+</t>
  </si>
  <si>
    <t>TONG POM. STAINLESS STEEL 9 1 COUNT</t>
  </si>
  <si>
    <t>TONG UTILITY 9 1/2 INCHES 1 COUNT</t>
  </si>
  <si>
    <t>TONG POM. STAINLESS STEEL 12 INCH 1 COUNT</t>
  </si>
  <si>
    <t>TONG UTILTY STAINLESS STEEL 12 INCH 1 COUNT</t>
  </si>
  <si>
    <t>TONG UTILITY STAINLESS STEEL 16 1 COUNT</t>
  </si>
  <si>
    <t>DISHER STAINLESS STEEL SIZE 6 WHITE 1 COUNT</t>
  </si>
  <si>
    <t>DISHER STAINLESS STEEL SIZE 8. GRAY 1 EACH</t>
  </si>
  <si>
    <t>DISHER STAINLESS STEEL #10 CAN IVORY 1 COUNT</t>
  </si>
  <si>
    <t>DISHER STAINLESS STEEL #12 GREEN 1 COUNT</t>
  </si>
  <si>
    <t>DISHER STAINLESS STEEL #16 BLUE. 1 COUNT</t>
  </si>
  <si>
    <t>DISHER STAINLESS STEEL #20 YELLOW 1 COUNT</t>
  </si>
  <si>
    <t>DISHER STAINLESS STEEL #24 RED 1 COUNT</t>
  </si>
  <si>
    <t>DISHER STAINLESS STEEL #30 BLACK 1 COUNT</t>
  </si>
  <si>
    <t>DISHER SOLID HANDLE #40 ORCHD 1 COUNT</t>
  </si>
  <si>
    <t>DISHER STAINLESS STEEL #60 SQUEEZE HANDLE 1 COUNT</t>
  </si>
  <si>
    <t>DISHER #100 SQUEEZE 3/8 OUNCE 1 COUNT</t>
  </si>
  <si>
    <t>TONG UTILITY X/X 9 1/2 INCHES HEAVY DUTY 1 COUNT</t>
  </si>
  <si>
    <t>TONG UTILITY STAINLESS STEEL 12 INCH HEAVY DUTY 1 COUNT</t>
  </si>
  <si>
    <t>TONG UTILITY STAINLESS STEEL 16 HEAVY DUTY 1 COUNT</t>
  </si>
  <si>
    <t>AU GRATIN STAINLESS STEEL ROUND 6OZ 12 COUNT</t>
  </si>
  <si>
    <t>DISPENSER CONDIMENTS PLASTIC 3 QUART BROWN 1 COUNT</t>
  </si>
  <si>
    <t>AU GRATIN STAINLESS STEEL OVAL 12OZ 12 COUNT</t>
  </si>
  <si>
    <t>AU GRATIN STAINLESS STEEL OVAL 8OZ 12 COUNT</t>
  </si>
  <si>
    <t>DISPENSER CONDIMENTS PLASTIC 6 PINT BROWN 1 COUNT</t>
  </si>
  <si>
    <t>SERVER JAR 48OZ WHITE TOP. 1 COUNT</t>
  </si>
  <si>
    <t>SERVER 48 OUNCE ALMOND TOP 1 COUNT</t>
  </si>
  <si>
    <t>COVER HINGED KOOL TOUCH 8.5 1 COUNT</t>
  </si>
  <si>
    <t>COVER HINGED KOOL TOUCH 10.5 1 COUNT</t>
  </si>
  <si>
    <t>SERVER GRAVY BOAT STAINLESS STEEL 3OZ 1 COUNT</t>
  </si>
  <si>
    <t>SERVER GRAVY BOAT 5 OUNCE STAINLESS STEEL 1 COUNT</t>
  </si>
  <si>
    <t>SERVER GRAVY BOAT STAINLESS STEEL 8 OUNCE 1 COUNT</t>
  </si>
  <si>
    <t>CUTTER CHEESE 1 EACH</t>
  </si>
  <si>
    <t>CUTTER POTATO 3/8 CUT. SIZE 1 COUNT</t>
  </si>
  <si>
    <t>TONG UTILITY STAINLESS STEEL 9 1/2 INCHES 1 COUNT</t>
  </si>
  <si>
    <t>TONG UTILITY MULTI-PACK KOOL TOUCH 9 1/2 INCHES 6 PC. SET</t>
  </si>
  <si>
    <t>TONG UTILITY BLACK KOOL TOUCH HANDLE NO SPRING 1 COUNT</t>
  </si>
  <si>
    <t>TONG UTILITY STAINLESS STEEL 12 INCH 1 COUNT</t>
  </si>
  <si>
    <t>TONG KOOL TOUCH BLACK 1 EACH</t>
  </si>
  <si>
    <t>MIXING BOWL STAINLESS STEEL 1.5 QUART 1 COUNT</t>
  </si>
  <si>
    <t>MIXING BOWL STAINLESS STEEL 3 QUART 1 COUNT</t>
  </si>
  <si>
    <t>MIXING BOWL STAINLESS STEEL 4 QUART 1 COUNT</t>
  </si>
  <si>
    <t>MIXING BOWL STAINLESS STEEL 5QT 1 COUNT</t>
  </si>
  <si>
    <t>MIXING BOWL STAINLESS STEEL 8 QUART 1 COUNT</t>
  </si>
  <si>
    <t>MIXING BOWL STAINLESS STEEL 13 QUART 1 COUNT</t>
  </si>
  <si>
    <t>MIXING BOWL STAINLESS STEEL 16 QUART 17.5 1 COUNT</t>
  </si>
  <si>
    <t>DISH SHERBET STAINLESS STEEL PANELED SCALLOP TOP 12 COUNT</t>
  </si>
  <si>
    <t>SHERBET DISH 5 OUNCE PANELED SCALLOP TOP EDGE 12 COUNT</t>
  </si>
  <si>
    <t>SPOON SERVER STAINLESS STEEL QUEEN ANN 12 COUNT</t>
  </si>
  <si>
    <t>KNIFE STEAK BLADE WOOD 4.375 24 COUNT</t>
  </si>
  <si>
    <t>KNIFE STEAK 4.75 BLADE PLASTIC HANDLE 2 DOZEN</t>
  </si>
  <si>
    <t>STAND 3TIER 8 INCH 3BINS BROWN 1 COUNT</t>
  </si>
  <si>
    <t>STAND 3 TIER 11 BROWN 3 BIN. 1 COUNT</t>
  </si>
  <si>
    <t>STAND 3 TIER W/3 BIN.BLK 1 COUNT</t>
  </si>
  <si>
    <t>CHAFER MAXIMILLIAN STEEL 9 QUART RECTANGULAR 1 COUNT</t>
  </si>
  <si>
    <t>CHAFER MAXIMILLIAN ROUND STEEL 6 QUART 1 COUNT</t>
  </si>
  <si>
    <t>LADLE HEAVY DUTY STAINLESS STEEL ONE PIECE 1/2 OUNCE 1 COUNT</t>
  </si>
  <si>
    <t>LADLE STAINLESS STEEL HANDLE HEAVY DUTY ONE PIECE 1 OUNCE 1 COUNT</t>
  </si>
  <si>
    <t>LADLE HEAVY DUTY ONE PIECE WITH BLACK HANDLE ONE OUNCE 1 COUNT</t>
  </si>
  <si>
    <t>LADLE HEAVY DUTY STAINLESS STEEL ONE PIECE 2 OUNCE 1 COUNT</t>
  </si>
  <si>
    <t>LADLE HEAVY DUTY ONE PIECE BLUE HANDLE 2 OUNCE 1 COUNT</t>
  </si>
  <si>
    <t>LADLE HEAVY DUTY STAINLESS STEEL ONE PIECE 3 OUNCE 1 COUNT</t>
  </si>
  <si>
    <t>LADLE HEAVY DUTY ONE PIECE IVORY HANDLE 3 OUNCE 1 COUNT</t>
  </si>
  <si>
    <t>LADLE HEAVY DUTY STAINLESS STEEL ONE PIECE 4 OUNCE 1 COUNT</t>
  </si>
  <si>
    <t>LADLE HEAVY DUTY ONE PIECE GRAY HANDLE 4 OUNCE 1 COUNT</t>
  </si>
  <si>
    <t>LADLE HEAVY DUTY STAINLESS STEEL ONE PIECE 6 OUNCE 1 COUNT</t>
  </si>
  <si>
    <t>LADLE HEAVY DUTY ONE PIECE TEAL HANDLE 6OZ 1 COUNT</t>
  </si>
  <si>
    <t>LADLE HEAVY DUTY ONE PIECE ORANGE HANDLE 8OZ 1 COUNT</t>
  </si>
  <si>
    <t>LADLE HEAVY DUTY ONE PIECE BLACK HANDLE 1 1/2 OUNCES 1 COUNT</t>
  </si>
  <si>
    <t>REDCO ONION KING 1/4 1 EACH</t>
  </si>
  <si>
    <t>PAN LOAF 9.25X5.25X2.75 1 COUNT</t>
  </si>
  <si>
    <t>PAN CAKE 10X2 WEAR-EVER 1 COUNT</t>
  </si>
  <si>
    <t>PAN WEAR-EVER ALUMINUM PIE 10X8X1 1 COUNT</t>
  </si>
  <si>
    <t>REDCO BLADE ASM FOR 501N 1 EACH</t>
  </si>
  <si>
    <t>SPATULA PLASTIC WHITE 1 COUNT</t>
  </si>
  <si>
    <t>SPATULA PLASTIC WHITE RED 10 INCH 1 COUNT</t>
  </si>
  <si>
    <t>SPATULA PLASTIC WHITE 13.625 1 COUNT</t>
  </si>
  <si>
    <t>SPATULA PLASTIC WHITE 16.625 1 COUNT</t>
  </si>
  <si>
    <t>SPATULA WHITE RED 13.5 1 COUNT</t>
  </si>
  <si>
    <t>SPATULA 16.5 HIGH HEAT 1 COUNT</t>
  </si>
  <si>
    <t>BOTTLE SQUEEZE ALL PURPOSE PLASTIC CLEAR 12 COUNT</t>
  </si>
  <si>
    <t>SPATULA SPOON SHAPED 9 1/2 INCHES 1 COUNT</t>
  </si>
  <si>
    <t>SPATULA SPOON SHAPED 13.5 1 COUNT</t>
  </si>
  <si>
    <t>SPATULA SPOON SHAPED 16.5 1 COUNT</t>
  </si>
  <si>
    <t>1/4 SIZE SHEET PAN. 1 DOZEN</t>
  </si>
  <si>
    <t>SQUEEZE DISPENSER 24OZ WITH STANDARD CLEAR CAP 12 COUNT</t>
  </si>
  <si>
    <t>DOLLY DISH RACK 20X20 1 COUNT</t>
  </si>
  <si>
    <t>FLATWARE BASKET 8 COMPARTMENT GREEN WITH HANDLE 1 COUNT</t>
  </si>
  <si>
    <t>SILVER WARE CYLINDER WHITE PLASTIC 1 COUNT</t>
  </si>
  <si>
    <t>SILVER WARE CYLINDER HOLDER 1 COUNT</t>
  </si>
  <si>
    <t>RACK DISH OPEN PLASTIC GREEN 1 COUNT</t>
  </si>
  <si>
    <t>RACK FLATWARE 20X20 GREEN 1 COUNT</t>
  </si>
  <si>
    <t>RACK PLATE 20X20 GREEN 1 COUNT</t>
  </si>
  <si>
    <t>RACK CUP PLASTIC 20CMP GREEN 1 COUNT</t>
  </si>
  <si>
    <t>RACK CUP PLASTIC 16 COMPARTMENT GREEN 1 COUNT</t>
  </si>
  <si>
    <t>RACK CUP PLASTIC 20CMP FULL GREEN 1 COUNT</t>
  </si>
  <si>
    <t>RACK PLATE PLASTIC FULL SIZE GREEN 1 COUNT</t>
  </si>
  <si>
    <t>RACK GLASS 25 COMPARTMENT EXTRA TALL LIGHT GREEN 1 COUNT</t>
  </si>
  <si>
    <t>RACK GLASS 36CMP TALL GREEN 1 COUNT</t>
  </si>
  <si>
    <t>SCOOP PROFESSIONAL STANDARD STRENGTH 18OZ 1 COUNT</t>
  </si>
  <si>
    <t>SPOON CONDIMENT POLYPROPYLENE 1 DOZEN</t>
  </si>
  <si>
    <t>PAN SHEET BUN ALUMINUM 1/2 SIZE 12 COUNT</t>
  </si>
  <si>
    <t>DIP WEAR-EVER ALUMINUM 30OZ 1 COUNT</t>
  </si>
  <si>
    <t>LOAF PAN PROFESSIONAL STANDARD STRENGTH 5LB 1 COUNT</t>
  </si>
  <si>
    <t>PAN HOLDER EGG POACHER WITH COVER 4 HOLE 1 COUNT</t>
  </si>
  <si>
    <t>PAN WEAR-EVER ALUMINUM POACHER 8 INCH 1 COUNT</t>
  </si>
  <si>
    <t>LDLE STAINLESS STEEL ONE OUNCE KOOL TOUCH 1 COUNT</t>
  </si>
  <si>
    <t>LADLE STAINLESS STEEL KOOL TOUCH HANDLE 2OZ 1 COUNT</t>
  </si>
  <si>
    <t>LADLE 3 OUNCE KOOL TOUCH 1 COUNT</t>
  </si>
  <si>
    <t>LADLE KOOL TOUCH STAINLESS STEEL 4 OUNCE 1 COUNT</t>
  </si>
  <si>
    <t>LADLE STAINLESS STEEL 6 OUNCE KOOL TOUCH BLACK 1 COUNT</t>
  </si>
  <si>
    <t>LADLE STAINLESS STEEL 8 OUNCE KOOL TOUCH BLACK 1 COUNT</t>
  </si>
  <si>
    <t>SPOON SOFT 10 INCH HIGH TEMP. 1 COUNT</t>
  </si>
  <si>
    <t>SPOON SOFT 13.5 HIGH TEMPURA 1 COUNT</t>
  </si>
  <si>
    <t>SPOON SOFT 16.5 HIGH TEMPURA 1 COUNT</t>
  </si>
  <si>
    <t>LADLE STAINLESS STEEL 2 OUNCE KOOL TOUCH BLUE 1 COUNT</t>
  </si>
  <si>
    <t>LADLE STAINLESS STEEL 6 OUNCE KOOL TOUCH TEAL 1 COUNT</t>
  </si>
  <si>
    <t>PITCHER TUFFEX 3 LIP CLEAR 60 OUNCE 12 COUNT</t>
  </si>
  <si>
    <t>SHKR SALT &amp; PEPPER MUSHROOM TOP 1 DOZEN</t>
  </si>
  <si>
    <t>WEDGEMASTER 6 SECTION 1 COUNT</t>
  </si>
  <si>
    <t>SPOODLE PERFORATED STAINLESS STEEL 2OZ PLASTIC 1 COUNT</t>
  </si>
  <si>
    <t>SPOODLE SOLID PLASTIC BLACK 2 OUNCE 1 COUNT</t>
  </si>
  <si>
    <t>SPOODLE 3OZ BLACK HANDLE 1 COUNT</t>
  </si>
  <si>
    <t>SPOODLE GRIP &amp; SERVE 3OZ BLACK HANDLE 1 COUNT</t>
  </si>
  <si>
    <t>SPOODLE PERFORATED STAINLESS STEEL 40Z PLASTIC 1 COUNT</t>
  </si>
  <si>
    <t>SPOODLE SOLID STAINLESS STEEL 4OZ PLASTIC 1 COUNT</t>
  </si>
  <si>
    <t>SPOODLE PERFORATED 6OZ PLASTIC HANDLE 1 COUNT</t>
  </si>
  <si>
    <t>SPOODLE SOLID STAINLESS STEEL 6OZ PLASTIC 1 COUNT</t>
  </si>
  <si>
    <t>SPOODLE PERFORATED STAINLESS STEEL 8OZ PLASTIC 1 COUNT</t>
  </si>
  <si>
    <t>SPOODLE 8 OUNCE SOLID BLACK HANDLE 1 EACH</t>
  </si>
  <si>
    <t>SPOODLE PERFORATED STAINLESS STEEL 4OZ GRIP 1 COUNT</t>
  </si>
  <si>
    <t>SPOODLE SOLID STAINLESS STEEL 40Z GRAY 1 COUNT</t>
  </si>
  <si>
    <t>SPOODLE PERFORATED STAINLESS STEEL 6OZ TEAL 1 COUNT</t>
  </si>
  <si>
    <t>SPOODLE SOLID STAINLESS STEEL 6OZ GRIP 1 COUNT</t>
  </si>
  <si>
    <t>SPOODLE OVAL SOLID BLUE HANDLE 2 OUNCE 1 COUNT</t>
  </si>
  <si>
    <t>SPOODLE OVAL SOLID IVORY HANDLE 3 OUNCE 1 COUNT</t>
  </si>
  <si>
    <t>SPOODLE OVAL SOLID GRAY HANDLE 1 COUNT</t>
  </si>
  <si>
    <t>SPOODLE OVAL SOLID HANDLE TEAL 6 OZ 1 COUNT</t>
  </si>
  <si>
    <t>SPOODLE SOLID OVAL ORANGE HANDLE 8 1 EACH</t>
  </si>
  <si>
    <t>SPOON SOLID W/ERGO HANDLE 1 COUNT</t>
  </si>
  <si>
    <t>SPOON PERFORATED ERGO HANDLE 13 13/16 INCHES 1 COUNT</t>
  </si>
  <si>
    <t>SPOON SLOTTED BLACK HANDLED ERGO 1 COUNT</t>
  </si>
  <si>
    <t>SPOON 3 SIDED WITH ERGO HANDLE SOLID 1 COUNT</t>
  </si>
  <si>
    <t>SPOON PERFORATED ERGO HANDLE 3-SIDED 13 15/16 INCHES 1 COUNT</t>
  </si>
  <si>
    <t>SPOODLE OVAL PERFORATED BLUE HANDLE 1 COUNT</t>
  </si>
  <si>
    <t>SPOODLE OVAL PERFORATED IVORY HANDLE 3 OUNCE 1 COUNT</t>
  </si>
  <si>
    <t>SPOODLE OVAL PERFORATED GRAY HANDLE 4 OZ 1 COUNT</t>
  </si>
  <si>
    <t>SPOODLE OVAL PERFORATED TEAL 6OZ 1 COUNT</t>
  </si>
  <si>
    <t>SPOODLE OVAL PERFORATED ORANGE HANDLE 8 1 COUNT</t>
  </si>
  <si>
    <t>BASTING SPOON HEAVY DUTY SOLID 13 1/4 INCH 1 COUNT</t>
  </si>
  <si>
    <t>BASTING SPOON HEAVY DUTY PERFORATED 13 1/4 INCH 1 COUNT</t>
  </si>
  <si>
    <t>BASTING SPOON HEAVY DUTY SLOTTED 13 1/4 INCH 1 COUNT</t>
  </si>
  <si>
    <t>BASTING SPOON HEAVY DUTY SOLID 15 1/2 INCHES 1 COUNT</t>
  </si>
  <si>
    <t>BASTING SPOON HEAVY DUTY PERFORATED 15 1/2 INCHES 1 COUNT</t>
  </si>
  <si>
    <t>SPOON HEAVY DUTY BASTING 15 1/2 INCHES SLOTTED 1 COUNT</t>
  </si>
  <si>
    <t>BRAZIER 28 QUART 20 HEAVY DUTY 1 COUNT</t>
  </si>
  <si>
    <t>COVER 9.88 1 EACH</t>
  </si>
  <si>
    <t>COVER DOMED 10.75 1 COUNT</t>
  </si>
  <si>
    <t>COVER DOMED 8.31 1 COUNT</t>
  </si>
  <si>
    <t>COVER DOMED 11.188 DIAMETER 1 EACH</t>
  </si>
  <si>
    <t>COVER DOMED 9.81 DIAMETER 1 EACH</t>
  </si>
  <si>
    <t>COVER STACK FIT10 12 16QT 1 COUNT</t>
  </si>
  <si>
    <t>POTS STOCK 12QT ALUMINUM STANDARD 1 COUNT</t>
  </si>
  <si>
    <t>POT STOCK 20QT ALMU STANDARD 1 EACH</t>
  </si>
  <si>
    <t>COVER STANDARD STOCK POT AL6 1 COUNT</t>
  </si>
  <si>
    <t>POT STOCK 24 QUART ALUMINUM STANDARD 1 COUNT</t>
  </si>
  <si>
    <t>COVER 13 5/8 1 EACH</t>
  </si>
  <si>
    <t>STOCK POT 40. QUART ALUMINUM 1 EACH</t>
  </si>
  <si>
    <t>COVER STOCK POT FOR 40 LOAD QUART 1 COUNT</t>
  </si>
  <si>
    <t>COVER FLAT 16 7/8 1 COUNT</t>
  </si>
  <si>
    <t>COVER 17 7/8 1 COUNT</t>
  </si>
  <si>
    <t>PAN FRY STEEL COAT 7 1 COUNT</t>
  </si>
  <si>
    <t>PAN FRY ALMOND NON STICK 8 INCH 1 COUNT</t>
  </si>
  <si>
    <t>PAN FRY STEEL COAT 10 INCH 1 COUNT</t>
  </si>
  <si>
    <t>PAN FRY ALUMINUM STEEL 14 COATED GAUGE 1 COUNT</t>
  </si>
  <si>
    <t>POT DOUBLE BROILER 12 ALUMINUM 1 COUNT</t>
  </si>
  <si>
    <t>PASTA COOKER 4COMP ALUMINUM 1 COUNT</t>
  </si>
  <si>
    <t>DREDGE WITH SMALL HOLES NO HANDLE 1 EACH</t>
  </si>
  <si>
    <t>DREDGE WITH HANDLE SMALL HOLES ALUMINUM 1 EACH</t>
  </si>
  <si>
    <t>DISH BRAZIER 24 QUART 1 COUNT</t>
  </si>
  <si>
    <t>CUP MEASURING ALMU 1QT 1 EACH</t>
  </si>
  <si>
    <t>COLANDER ALUMINUM 11 QUART 10 GALLON 1 EACH</t>
  </si>
  <si>
    <t>COLANDER ALUMINUM 16 QUART 16.5 1 COUNT</t>
  </si>
  <si>
    <t>MEASURING CUPS 2 QUART ALUMINUM 1 COUNT</t>
  </si>
  <si>
    <t>CUP MEASURING ALUMINUM 4 QUART 1 EACH</t>
  </si>
  <si>
    <t>PAN BAKE &amp; ROAST SATIN FINISH 12 GAUGE 1 EACH</t>
  </si>
  <si>
    <t>ROAST PAN TOP WITH STRAP 1 EACH</t>
  </si>
  <si>
    <t>PAN ROAST BOTTOM WITH STRAPS 1 EACH</t>
  </si>
  <si>
    <t>PAN BAKE &amp; ROAST 18X12X2 1 EACH</t>
  </si>
  <si>
    <t>PAN ONLY ROASTING 1 COUNT</t>
  </si>
  <si>
    <t>CHILL WAND INSTA CHILL 2 LITER 1 COUNT</t>
  </si>
  <si>
    <t>CHILL WAND INSTA CHILL 4 LITER 1 COUNT</t>
  </si>
  <si>
    <t>WARMER FOOD ELECTRIC STAINLESS STEEL 12 VOLT 1 COUNT</t>
  </si>
  <si>
    <t>WARMER FOOD FULL SIZE STAINLESS STEEL 1 COUNT</t>
  </si>
  <si>
    <t>WARMER FOOD ELECTRIC COUNTERTOP HEAT &amp; SERVE 1 COUNT</t>
  </si>
  <si>
    <t>WARMER FOOD ELECTRIC HEAT &amp; SERVE 1 COUNT</t>
  </si>
  <si>
    <t>WARMER KETTLE 11QT W/ INSET &amp; COVER 1 COUNT</t>
  </si>
  <si>
    <t>STOCKPOT 10 QUART 1 COUNT</t>
  </si>
  <si>
    <t>STOCKPOT 12 QUART 1 COUNT</t>
  </si>
  <si>
    <t>STOCKPOT 16 QUART 1 COUNT</t>
  </si>
  <si>
    <t>STOCKPOT 20 QUART 1 COUNT</t>
  </si>
  <si>
    <t>STOCKPOT 24 QUART 1 COUNT</t>
  </si>
  <si>
    <t>STOCKPOT 32 QUART 1 COUNT</t>
  </si>
  <si>
    <t>STOCKPOT 40 LOAD QUART 1 COUNT</t>
  </si>
  <si>
    <t>PAN SAUCE 1.5 QUART NATURAL FINISH 1 COUNT</t>
  </si>
  <si>
    <t>PAN SAUCE 2.75 OUNCE QUART NATURAL FINISH 1 COUNT</t>
  </si>
  <si>
    <t>PAN SAUCE 4.5 QUART NATURAL FINISH 1 COUNT</t>
  </si>
  <si>
    <t>COVER SAUCE PAN #7344 1 EACH</t>
  </si>
  <si>
    <t>PAN SAUCE 5.5 QUART NATURAL FINISH 1 COUNT</t>
  </si>
  <si>
    <t>PAN SAUCE 7 QUART NATURAL FINISH 1 COUNT</t>
  </si>
  <si>
    <t>COVER FOR 7347 7QT 1 EACH</t>
  </si>
  <si>
    <t>PAN SAUCE 8.5 QUART NATURAL FINISH 1 COUNT</t>
  </si>
  <si>
    <t>COVER 8.5 QUART 1 EACH</t>
  </si>
  <si>
    <t>PAN SAUCE 10 QUART NATURAL FINISH 1 COUNT</t>
  </si>
  <si>
    <t>COVER 10 QUART 1 EACH</t>
  </si>
  <si>
    <t>ARKADIA COVER FOR BRAZIER 1 EACH</t>
  </si>
  <si>
    <t>POT SAUCE 14 QUART 1 COUNT</t>
  </si>
  <si>
    <t>POT SAUCE 20 QUART 1 COUNT</t>
  </si>
  <si>
    <t>SAUCE POT 26 QUART SR476824 1 COUNT</t>
  </si>
  <si>
    <t>COVER FOR 10/12/16QT POT 1 COUNT</t>
  </si>
  <si>
    <t>COVER FOR 20-24 OZ QUART POT 1 COUNT</t>
  </si>
  <si>
    <t>COVER FOR 20 QUART POT 1 COUNT</t>
  </si>
  <si>
    <t>ADAPTOR BAR SUPERPANII 12 INCH 1 COUNT</t>
  </si>
  <si>
    <t>ADAPTOR BAR SUPERPANII 20 1 COUNT</t>
  </si>
  <si>
    <t>COVER PAN HALF SIZE FLAT STAINLESS STEEL 1 COUNT</t>
  </si>
  <si>
    <t>COVER PAN 1/3 SIZE FLAT SOLID 1 COUNT</t>
  </si>
  <si>
    <t>COVER PAN 1/4 SIZE FLAT SOLID 1 COUNT</t>
  </si>
  <si>
    <t>COVER PAN 1/6 SIZE FLAT STAINLESS STEEL 1 COUNT</t>
  </si>
  <si>
    <t>COVER FULL SIZE SLOTTED FITS 20 1 COUNT</t>
  </si>
  <si>
    <t>COVER PAN SLOTTED STAINLESS STEEL HALF SIZE 1 COUNT</t>
  </si>
  <si>
    <t>COVER PAN 1/3 FLAT SLOTTED 1 COUNT</t>
  </si>
  <si>
    <t>COVER PAN 1/4 SIZE SLOTTED STAINLESS STEEL 1 COUNT</t>
  </si>
  <si>
    <t>COVER PAN STAINLESS STEEL 1/6 SIZE 1 COUNT</t>
  </si>
  <si>
    <t>BOILER DOUBLE W/LID 11 QUART 1 COUNT</t>
  </si>
  <si>
    <t>PAN COVER DOME SOLID STAINLESS STEEL 1 COUNT</t>
  </si>
  <si>
    <t>COVER PAN FULL SIZE SOLID 1 COUNT</t>
  </si>
  <si>
    <t>PAN COVER DOME STAINLESS STEEL 2.25 1 COUNT</t>
  </si>
  <si>
    <t>COVER VEGETABLE INSET SLOT STAINLESS STEEL 1 COUNT</t>
  </si>
  <si>
    <t>PAN INSET 2.5QT STAINLESS STEEL 1 COUNT</t>
  </si>
  <si>
    <t>COVER INSET FITS 78164 1 COUNT</t>
  </si>
  <si>
    <t>PAN INSET 4 1/8QT STAINLESS STEEL 1 COUNT</t>
  </si>
  <si>
    <t>COVER VEGETABLE INSERT FIT 7.25QT 1 COUNT</t>
  </si>
  <si>
    <t>PAN INSET 7.25QT STAINLESS STEEL 1 COUNT</t>
  </si>
  <si>
    <t>COVER INSET 11 QUART STAINLESS STEEL 1 COUNT</t>
  </si>
  <si>
    <t>POT VEGETABLE INSET STAINLESS STEEL 11Q 1 COUNT</t>
  </si>
  <si>
    <t>SHAKER SALT &amp; PEPPER 2 OUNCE 1 DOZEN</t>
  </si>
  <si>
    <t>PLATTER STAINLESS STEEL 7.75X11.75 12 COUNT</t>
  </si>
  <si>
    <t>UNDERLINER FOR. #81180 12 COUNT</t>
  </si>
  <si>
    <t>PAN SHEET COOKIE ALUMINUM 12 COUNT</t>
  </si>
  <si>
    <t>PAN BUN ALUMINUM WEAR-EVER 12 COUNT</t>
  </si>
  <si>
    <t>FOOD PAN SUPER PAN III 2.5 DEEP 1 COUNT</t>
  </si>
  <si>
    <t>PAN FULL SIZE PERFORATED SUPER PAN 3 1 COUNT</t>
  </si>
  <si>
    <t>18 GAUGE PERFORATED SHEET PAN 1 DOZEN</t>
  </si>
  <si>
    <t>PAN SHEET COOKIE ALUMINUM ECONOMY 1 DOZEN</t>
  </si>
  <si>
    <t>PAN FULL SIZE 4 DEEP SUPER PAN 3 1 COUNT</t>
  </si>
  <si>
    <t>PAN FULL SIZE PERFORATED 4 SUPER PAN 3 1 COUNT</t>
  </si>
  <si>
    <t>PAN STAINLESS STEEL 6 DEEP SUPER PAN 3 1 COUNT</t>
  </si>
  <si>
    <t>PAN HALF SIZE 2.5 DEEP SUPER PAN 3 1 COUNT</t>
  </si>
  <si>
    <t>PAN HALF SIZE 4 DEEP SUPER PAN 3 1 COUNT</t>
  </si>
  <si>
    <t>PAN HALF SIZE PERFORATED 4 DEEP SUPER PAN 3 1 COUNT</t>
  </si>
  <si>
    <t>PAN HALF SIZE 6 DEEP SUPER PAN III 1 COUNT</t>
  </si>
  <si>
    <t>PAN 1/3 SIZE 2.5D SUPER PAN 3 1 COUNT</t>
  </si>
  <si>
    <t>PAN 1/3 SIZE 4 DEEP SUPER PAN 3 1 COUNT</t>
  </si>
  <si>
    <t>PAN 1/3 SIZE 6D SUPER PAN 3 1 COUNT</t>
  </si>
  <si>
    <t>PAN 1/4 SIZE 2.5D SUPER PAN 3 1 COUNT</t>
  </si>
  <si>
    <t>PAN 1/4 SIZE 4 DEEP SUPER PAN 3 1 COUNT</t>
  </si>
  <si>
    <t>PAN 1/4 SIZE 6D SUPER PAN 3 1 COUNT</t>
  </si>
  <si>
    <t>PAN 1/6 SIZE 2.5D SUPER PAN 3 1 COUNT</t>
  </si>
  <si>
    <t>PAN 1/6 SIZE 4 DEEP SUPER PAN 3 1 COUNT</t>
  </si>
  <si>
    <t>PAN 1/6 SIZE 6 DEEP SUPER PAN 3 1 COUNT</t>
  </si>
  <si>
    <t>PAN 1/9 SIZE 4 DEEP SUPER PAN 3 1 COUNT</t>
  </si>
  <si>
    <t>PAN SHEET HALF SIZE COOKIE ALUMINUM 1 DOZEN</t>
  </si>
  <si>
    <t>COVER FULL SIZE SOLID SUPER PAN 3 1 COUNT</t>
  </si>
  <si>
    <t>COVER HALF SIZE SOLID SUPER PAN 3 1 COUNT</t>
  </si>
  <si>
    <t>COVER 1/3 SIZE SOLID SUPER PAN 3 1 COUNT</t>
  </si>
  <si>
    <t>COVER 1/4 SIZE SOLID SUPER PAN 3 1 COUNT</t>
  </si>
  <si>
    <t>COVER 1/6 SIZE SOLID SUPER PAN 3 1 COUNT</t>
  </si>
  <si>
    <t>COVER FULL SIZE SLOTTED SUPER PAN 3 1 COUNT</t>
  </si>
  <si>
    <t>COVER HALF SIZE SLOTTED SUPER PAN 3 1 COUNT</t>
  </si>
  <si>
    <t>COVER 1/3 SIZE SLOTTED SUPER PAN 3 1 COUNT</t>
  </si>
  <si>
    <t>COVER 1/4 SIZE SLOTTED 1 COUNT</t>
  </si>
  <si>
    <t>COVER SLOTTED 1/6 SIZE SUPER PAN 3 1 COUNT</t>
  </si>
  <si>
    <t>CART UTILITY PLASTIC 3 SHELF CLOSED 1 COUNT</t>
  </si>
  <si>
    <t>UTILITY CART 3 SHELF PLASTIC 1 COUNT</t>
  </si>
  <si>
    <t>CART 3 SHELF 300 POUND CAPACITY 1 EACH</t>
  </si>
  <si>
    <t>PAN STEAM TABLE SPILLAGE STAINLESS STEEL 1 EACH</t>
  </si>
  <si>
    <t>PAN SPILLAGE ALUMINUM STANDARD FULL SIZE 1 COUNT</t>
  </si>
  <si>
    <t>PAN CHAFER COMPLETE STAINLESS STEEL 1 COUNT</t>
  </si>
  <si>
    <t>CHAFER DAKOTA RECTANGLE 9 QUART 1 COUNT</t>
  </si>
  <si>
    <t>OPENER REDCO PREMIUM CAN 1 COUNT</t>
  </si>
  <si>
    <t>BLADE CAN OPENER BCO1/2/4/5 1 COUNT</t>
  </si>
  <si>
    <t>WEAR-EVER FRY PAN NATURAL FINISH 10 INCH 1 EACH</t>
  </si>
  <si>
    <t>WEAR-EVER FRY PAN NATURAL FINISH 12 INCH 1 EACH</t>
  </si>
  <si>
    <t>WEAR-EVER FRY PAN NATURAL FINISH 14 1 EACH</t>
  </si>
  <si>
    <t>FRY PAN 7EVER SMOOTH WEAR-EVER 6 COUNT</t>
  </si>
  <si>
    <t>FRY PAN 8 INCH EVER-SMOOTH WEAR-EVER 1 EACH</t>
  </si>
  <si>
    <t>PAN 7 NON STICK FRY 1 COUNT</t>
  </si>
  <si>
    <t>PAN 8 INCH FRY NON STICK 1 COUNT</t>
  </si>
  <si>
    <t>PAN 10 INCH FRY NON STICK 1 COUNT</t>
  </si>
  <si>
    <t>PAN 12 INCH FRY NON STICK 1 COUNT</t>
  </si>
  <si>
    <t>PAN 14 FRY NON STICK 1 COUNT</t>
  </si>
  <si>
    <t>FRY PAN SILVERSTONE PROFESSIONAL 7 1 COUNT</t>
  </si>
  <si>
    <t>FRY PAN SILVERSTONE PROFESSIONAL 8 INCH 1 COUNT</t>
  </si>
  <si>
    <t>PAN FRY 10 INCH SILVERSTONE WEAR-EVER NONSTICK 1 EACH</t>
  </si>
  <si>
    <t>PAN FRY 12 INCH SILVERSTONE WEAR-EVER 1 EACH</t>
  </si>
  <si>
    <t>PAN FRY 14 SILVERSTONE WEAR-EVER 1 EACH</t>
  </si>
  <si>
    <t>RACK OPEN BEIGE 1 COUNT</t>
  </si>
  <si>
    <t>COMPARTMENT RACK 9 BEIGE WITH TWO EXTENDERS 1 COUNT</t>
  </si>
  <si>
    <t>RACK 20 COMPARTMENT BEIGE W/2 EXTENDER 1 COUNT</t>
  </si>
  <si>
    <t>RACK 30 COMPARTMENT BEIGE W/2 EXTENDER 1 COUNT</t>
  </si>
  <si>
    <t>RACK COMBO BEIGE 1 COUNT</t>
  </si>
  <si>
    <t>RACK FLATWARE BEIGE 1 COUNT</t>
  </si>
  <si>
    <t>RACK PLATE AND TRAY BEIGE 1 COUNT</t>
  </si>
  <si>
    <t>RACK 16 COMPARTMENT BEIGE 1 EACH</t>
  </si>
  <si>
    <t>RACK 20 COMPARTMENT BEIGE 1 COUNT</t>
  </si>
  <si>
    <t>RACK COMPARTMENT 25 STEM WITH EXTENDER 1 COUNT</t>
  </si>
  <si>
    <t>RACK 25 COMPARTMENT BEIGE W/2 EXTENDER 1 COUNT</t>
  </si>
  <si>
    <t>RACK 25 COMPARTMENT W/3 EXTENDER BEIGE 1 COUNT</t>
  </si>
  <si>
    <t>RACK 25 COMPARTMENT 1 COUNT</t>
  </si>
  <si>
    <t>RACK 36 COMPARTMENT W/3 EXTENDER BEIGE 1 COUNT</t>
  </si>
  <si>
    <t>RACK 16 COMPARTMENT BEIGE W/1 EXTENDER 1 COUNT</t>
  </si>
  <si>
    <t>RACK 16 COMPARTMENT 1 COUNT</t>
  </si>
  <si>
    <t>RACK 16 COMPARTMENT W/3 EXTENDER BEIGE 1 COUNT</t>
  </si>
  <si>
    <t>RACK 16 COMPARTMENT BEIGE WITH 4 EXTENDERS 1 COUNT</t>
  </si>
  <si>
    <t>COMPARTMENT RACK 49 BEIGE WITH ONE EXTENDER 1 COUNT</t>
  </si>
  <si>
    <t>RACK EXTENDER OPEN BEIGE 1 COUNT</t>
  </si>
  <si>
    <t>RACK EXTENDER 25 COMPARTMENT BEIGE 1 COUNT</t>
  </si>
  <si>
    <t>EXTENDER RACK 16 COMPARTMENT BEIGE 1 COUNT</t>
  </si>
  <si>
    <t>RACK 20 COMPARTMENT EXTENDER BEIGE 1 COUNT</t>
  </si>
  <si>
    <t>FRY PAN CERAMIGUARD PROFESSIONAL 7 1 COUNT</t>
  </si>
  <si>
    <t>FRY PAN CERAMIGUARD PROFESSIONAL 8 INCH 1 COUNT</t>
  </si>
  <si>
    <t>PAN WEAR-EVER FRY 10 INCH CERAMIGUARD 1 EACH</t>
  </si>
  <si>
    <t>PAN WEAR-EVER ALUMINUM 12 INCH CERAMIGUARD 1 EACH</t>
  </si>
  <si>
    <t>PAN WEAR-EVER FRY 14 CERAMIGUARD 1 EACH</t>
  </si>
  <si>
    <t>WALCO STAINLESS INC.</t>
  </si>
  <si>
    <t>TEASPOON BARCLAY 3 DOZEN</t>
  </si>
  <si>
    <t>FORK DINNER BARCLAY 2 DOZEN</t>
  </si>
  <si>
    <t>SPOON DESSERT BARCLAY 2 DOZEN</t>
  </si>
  <si>
    <t>SPOON BOUILLONS BARCLAY 2 DOZEN</t>
  </si>
  <si>
    <t>KNIFE 1 PIECE BARCLAY 1 DOZEN</t>
  </si>
  <si>
    <t>30+</t>
  </si>
  <si>
    <t>FORK DINNER FANFARE 2 DOZEN</t>
  </si>
  <si>
    <t>SPOON BOUILLONS FANFARE 2 DOZEN</t>
  </si>
  <si>
    <t>KNIFE 1 PIECE FANFARE 1 DOZEN</t>
  </si>
  <si>
    <t>TEASPOON MONTEREY 3 DOZEN</t>
  </si>
  <si>
    <t>FORK DINNER MONTEREY 2 DOZEN</t>
  </si>
  <si>
    <t>SPOON DESSERT MONTEREY 2 DOZEN</t>
  </si>
  <si>
    <t>KNIFE 1 PIECE MONTEREY 1 DOZEN</t>
  </si>
  <si>
    <t>TEASPOON ROYAL BRISTOL 3 DOZEN</t>
  </si>
  <si>
    <t>FORK DINNER ROYAL BRISTOL 2 DOZEN</t>
  </si>
  <si>
    <t>FORK SALAD 3 TINE ROYAL BRISTOL 2 DOZEN</t>
  </si>
  <si>
    <t>SPOON BOUILLONS ROYAL BRISTOL 2 DOZEN</t>
  </si>
  <si>
    <t>KNIFE 1 PIECE ROYAL BRISTOL 1 DOZEN</t>
  </si>
  <si>
    <t>8EAS POISE 3 DOZEN</t>
  </si>
  <si>
    <t>FORK DINNER POISE 2 DOZEN</t>
  </si>
  <si>
    <t>SPOON DESSERT POISE 2 DOZEN</t>
  </si>
  <si>
    <t>SPOON BOUILLONS POISE 2 DOZEN</t>
  </si>
  <si>
    <t>KNIFE 1 PIECE POISE 1 DOZEN</t>
  </si>
  <si>
    <t>KNIFE 5 INCH STAINLESS STEEL BLADE POLYPROPYLENE 1 DOZEN</t>
  </si>
  <si>
    <t>TEASPOON SAVILLE 3 DOZEN</t>
  </si>
  <si>
    <t>FORK DINNER SAVILLE 2 DOZEN</t>
  </si>
  <si>
    <t>FORK TABLE EUROPEAN SAVILLE 2 DOZEN</t>
  </si>
  <si>
    <t>KNIFE STEAK UTICA JUMBO ROUND POINT 1 DOZEN</t>
  </si>
  <si>
    <t>FORK SALAD SAVILLE 2 DOZEN</t>
  </si>
  <si>
    <t>SPOON BOUILLONS SAVILLE 2 DOZEN</t>
  </si>
  <si>
    <t>FORK COCKTAIL SAVILLE 2 DOZEN</t>
  </si>
  <si>
    <t>SAVILLE DEMITASSE SPOON 2 DOZEN</t>
  </si>
  <si>
    <t>KNIFE DINNER 1 PIECE SAVILLE 1 DOZEN</t>
  </si>
  <si>
    <t>TEASPOON WINDSOR 3 DOZEN</t>
  </si>
  <si>
    <t>TEASPOON ICED WINDSOR 2 DOZEN</t>
  </si>
  <si>
    <t>FORK DINNER WINDSOR 2 DOZEN</t>
  </si>
  <si>
    <t>FORK SALAD WINDSOR 2 DOZEN</t>
  </si>
  <si>
    <t>SPOON DESSERT WINDSOR 2 DOZEN</t>
  </si>
  <si>
    <t>SPOON BOUILLONS WINDSOR 2 DOZEN</t>
  </si>
  <si>
    <t>KNIFE 1 PIECE SERRATED WINDSOR 1 DOZEN</t>
  </si>
  <si>
    <t>TEASPOON ICED DOMINION 2 DOZEN</t>
  </si>
  <si>
    <t>FORK DINNER DOMINION 2 DOZEN</t>
  </si>
  <si>
    <t>FORK SALAD DOMINION 2 DOZEN</t>
  </si>
  <si>
    <t>SPOON DESSERT DOMINION 2 DOZEN</t>
  </si>
  <si>
    <t>SPOON BOUILLONS DOMINION 2 DOZEN</t>
  </si>
  <si>
    <t>TONG PASTRY 9 1 EACH</t>
  </si>
  <si>
    <t>TONG 10 INCH SALAD 1 EACH</t>
  </si>
  <si>
    <t>KNIFE 1 PIECE DOMINION 1 DOZEN</t>
  </si>
  <si>
    <t>KNIFE 4 STAINLESS STEEL BLADE POINTED TIP 3 DOZEN</t>
  </si>
  <si>
    <t>KNIFE 3.75 ROUND TIP STAINLESS STEEL 2 DOZEN</t>
  </si>
  <si>
    <t>KNIFE 4.63 STAINLESS STEEL BLADE POINTED 2 DOZEN</t>
  </si>
  <si>
    <t>KNIFE 4.63 STAINLESS STEEL BLADE ROUND TIP 2 DOZEN</t>
  </si>
  <si>
    <t>BOSA NOVA TEASPOON 3 DOZEN</t>
  </si>
  <si>
    <t>BOSA NOVA FORK DINNER 3 DOZEN</t>
  </si>
  <si>
    <t>BOSA NOVA KNIFE DINNER 3 DOZEN</t>
  </si>
  <si>
    <t>GODDESS TEASPOON 3 DOZEN</t>
  </si>
  <si>
    <t>GODDESS FORK DINNER 2 DOZEN</t>
  </si>
  <si>
    <t>KNIFE BIGRED POLYWOOD BRAZIL 1 DOZEN</t>
  </si>
  <si>
    <t>KNIFE 1 PIECE ILLUSTRA 8.75 1 DOZEN</t>
  </si>
  <si>
    <t>TRAY OVAL 16.31X11.19 1 EACH</t>
  </si>
  <si>
    <t>TRAY OVAL 18.13X13.19 1 EACH</t>
  </si>
  <si>
    <t>TEASPOON 18/10 RIM PACIFIC RIM 3 DOZEN</t>
  </si>
  <si>
    <t>FORK DINNER PACIFIC RIM 2 DOZEN</t>
  </si>
  <si>
    <t>FORK EUROPEAN PACIFIC RIM 18/10 2 DOZEN</t>
  </si>
  <si>
    <t>FORK SALAD 18/10 PACIFIC RIM 2 DOZEN</t>
  </si>
  <si>
    <t>SPOON DESSERT 18/10 PACIFIC RIM 2 DOZEN</t>
  </si>
  <si>
    <t>KNIFE BUTTER 18/10 PACIFIC RIM 1 DOZEN</t>
  </si>
  <si>
    <t>SPOON BOUILLONS 18/10 PACIFIC RIM 2 DOZEN</t>
  </si>
  <si>
    <t>KNIFE DINNER 18/10 PACIFIC RIM 1 DOZEN</t>
  </si>
  <si>
    <t>KNIFE EUROPEAN 18/10 PACIFIC RIM 1 DOZEN</t>
  </si>
  <si>
    <t>LADLE SOUP ULTRA BUFFETWARE 1 EACH</t>
  </si>
  <si>
    <t>SPOON SOLID SERVING ULTRA BUFFETWARE 1 EACH</t>
  </si>
  <si>
    <t>FORK MEAT ULTRA BUFFETWARE 1 EACH</t>
  </si>
  <si>
    <t>SPOON WIDE BOTTOM ULTRA BUFFETWARE 1 EACH</t>
  </si>
  <si>
    <t>SERVER PASTRY ULTRA BUFFETWARE 1 EACH</t>
  </si>
  <si>
    <t>SERVER CAKE PIE ULTRA BUFFETWARE 1 EACH</t>
  </si>
  <si>
    <t>LADLE PUNCH ULTRA BUFFETWARE 1 EACH</t>
  </si>
  <si>
    <t>SPOON LONG HANDLE ULTRA BUFFETWARE 1 EACH</t>
  </si>
  <si>
    <t>SPOON LONG HANDLE SLOTTED ULTRA BUFFETWARE 1 EACH</t>
  </si>
  <si>
    <t>TONG ICE ULTRA BUFFETWARE 1 EACH</t>
  </si>
  <si>
    <t>TONG SMALL SERVING ULTRA BUFFETWARE 1 EACH</t>
  </si>
  <si>
    <t>TONG SERVING ULTRA BUFFETWARE 1 EACH</t>
  </si>
  <si>
    <t>SPOON SERVING SOLID 12 INCH 1 EACH</t>
  </si>
  <si>
    <t>SPOON SERVING SLOTTED 12 INCH 1 EACH</t>
  </si>
  <si>
    <t>LADLE DEEP 12 INCH 1 EACH</t>
  </si>
  <si>
    <t>SERVER PIE 12 INCH 1 EACH</t>
  </si>
  <si>
    <t>WARING</t>
  </si>
  <si>
    <t>STRAINER EXTRACTOR JUICE ELECTRIC STAINLESS STEEL 1 EACH</t>
  </si>
  <si>
    <t>BLENDER BAR 48Z PLASTIC 120 VOLT 1 EACH</t>
  </si>
  <si>
    <t>BLENDER BAR 32 OUNCE STAINLESS STEEL 120 VOLT 1 EACH</t>
  </si>
  <si>
    <t>BLENDER WITH TOGGLE SWITCHES 1 COUNT</t>
  </si>
  <si>
    <t>BLENDER 32OZ STAINLESS STEEL CONTAINER 1 COUNT</t>
  </si>
  <si>
    <t>CONTAINER POLYCARBONATE 48 OUNCE 1 COUNT</t>
  </si>
  <si>
    <t>BLENDER ONE GALLON COMMERCIAL 1 EACH</t>
  </si>
  <si>
    <t>TOASTER COMMERCIAL CONVEYOR SYSTEM 1 COUNT</t>
  </si>
  <si>
    <t>MIXER SHAKE DRINK STAINLESS STEEL 1 EACH</t>
  </si>
  <si>
    <t>PROCESSOR FOOD COMMERCIAL 2.5 QUART 1 COUNT</t>
  </si>
  <si>
    <t>BLENDER HALF GALLON STAINLESS STEEL CONTAINER 64OZ 1 EACH</t>
  </si>
  <si>
    <t>BLENDER COMMERCIAL XTREME SERIES 1 COUNT</t>
  </si>
  <si>
    <t>CHOPPER GRINDER 3/4 QUART 1 EACH</t>
  </si>
  <si>
    <t>COMMERCIAL CONVECTION OVEN 1 COUNT</t>
  </si>
  <si>
    <t>TOASTER 4SLIC 2SLOT 120 VOLT 1 COUNT</t>
  </si>
  <si>
    <t>TOASTER 4 SLOT 1 COUNT</t>
  </si>
  <si>
    <t>TOASTER HEAVY DUTY 4 SLICE 1 COUNT</t>
  </si>
  <si>
    <t>BAGEL TOASTER 4 SLOT 120 VOLT 1 COUNT</t>
  </si>
  <si>
    <t>FRYER 8.5 POUND CAPACITY 1 COUNT</t>
  </si>
  <si>
    <t>FOOD PROCESSOR COMMERCIAL 2.5 QUART 1 COUNT</t>
  </si>
  <si>
    <t>FOOD PROCESSOR COMMERCIAL LIQUILOCK SEAL SYSTEM 3.5Q 1 COUNT</t>
  </si>
  <si>
    <t>FOOD PROCESSOR COMMERCIAL WITH LIQUID LOCK 1 COUNT</t>
  </si>
  <si>
    <t>SHARPENER KNIFE 110V 1 COUNT</t>
  </si>
  <si>
    <t>GRILL RIBBED PANINI 120 VOLT 1 COUNT</t>
  </si>
  <si>
    <t>WISK ATTACHMENT 1 COUNT</t>
  </si>
  <si>
    <t>BLENDER IMMERSION QUIK STIK 2 SPEED 1 COUNT</t>
  </si>
  <si>
    <t>BLENDER MEDIUM DUTY IMMERSION 10 INCH 1 EACH</t>
  </si>
  <si>
    <t>BLENDER IMMERSION 16 120 VOLT 1 COUNT</t>
  </si>
  <si>
    <t>BLENDER IMMERSION QUICK STIX HEAVY DUTY 21 INCH 1 EACH</t>
  </si>
  <si>
    <t>STAND MIXER 7 QUART COMMERCIAL 1 COUNT</t>
  </si>
  <si>
    <t>WAFFLE MAKER SINGLE WITH ROTARY FEATURE 1 COUNT</t>
  </si>
  <si>
    <t>WAFFLE MAKER DOUBLE VERTICAL DESIGN 1 COUNT</t>
  </si>
  <si>
    <t>WELLS MANUFACTURING COMPANY</t>
  </si>
  <si>
    <t>AIRPOT 74 OUNCE METAL BODY 1 COUNT</t>
  </si>
  <si>
    <t>AIRPOT LEVER ACTION 2.2 LITER 1 COUNT</t>
  </si>
  <si>
    <t>DOUBLE WARMER 120 VOLT 1 COUNT</t>
  </si>
  <si>
    <t>DECANTER COFFEE DECAF PLASTIC STAINLESS STEEL 3 COUNT</t>
  </si>
  <si>
    <t>DECANTER COFFEE 10 12 CUP 3 COUNT</t>
  </si>
  <si>
    <t>DECANTER COFFEE GLASS 10/12 3 COUNT</t>
  </si>
  <si>
    <t>DECANTER COFFEE DECAF ORANGE 12 CUP 3 COUNT</t>
  </si>
  <si>
    <t>WINCO INDUSTRIES CO.</t>
  </si>
  <si>
    <t>DIVIDER ALUMINUM APPLE 1 COUNT</t>
  </si>
  <si>
    <t>FRY PAN ALUMINUM MIRROR FINISH 10 INCH 1 COUNT</t>
  </si>
  <si>
    <t>FRY PAN QUANTUM WITH SLEEVE 10 INCH 1 COUNT</t>
  </si>
  <si>
    <t>FRY PAN ALUMINUM NON STICK EXCALIBUR 10 INCH 1 COUNT</t>
  </si>
  <si>
    <t>FRY PAN ALUMINUM MIRROR FINISH 12 INCH 1 COUNT</t>
  </si>
  <si>
    <t>FRY PAN ALUMINUM QUANTUM WITH SLEEVE 12 INCH 1 COUNT</t>
  </si>
  <si>
    <t>FRY PAN WITH INSERT ALUMINUM NON STICK EXCALIBUR 1 COUNT</t>
  </si>
  <si>
    <t>FRY PAN ALUMINUM MIRROR FINISH 14 1 COUNT</t>
  </si>
  <si>
    <t>FRY PAN ALUMINUM QUANTUM WITH SLEEVE 14 1 COUNT</t>
  </si>
  <si>
    <t>FRY PAN NON STICK ALUMINUM EXCALIBUR 14 1 COUNT</t>
  </si>
  <si>
    <t>FRY PAN ALUMINUM MIRROR FINISH 8 INCH 1 COUNT</t>
  </si>
  <si>
    <t>FRY PAN ALUMINUM QUANTUM WITH SLEEVE 8 INCH 1 COUNT</t>
  </si>
  <si>
    <t>FRY PAN ALUMINUM NON STICK EXCALIBUR 8 INCH 1 COUNT</t>
  </si>
  <si>
    <t>BRAZIER 4MM 15 QUART 1 COUNT</t>
  </si>
  <si>
    <t>BRAZIER 4MM 18 QUART 1 COUNT</t>
  </si>
  <si>
    <t>BRAZIER 4MM 24 QUART 1 COUNT</t>
  </si>
  <si>
    <t>COVER ALUMINUM STOCK POT 100 QUART 1 COUNT</t>
  </si>
  <si>
    <t>COVER ALUMINUM STOCK POT 20 QT2.0 1 COUNT</t>
  </si>
  <si>
    <t>COVER ALUMINUM STOCK POT 24 QT2.0 1 COUNT</t>
  </si>
  <si>
    <t>COVER ALUMINUM STOCK POT 32 QT2.0 1 COUNT</t>
  </si>
  <si>
    <t>COVER ALUMINUM STOCK POT 40QT FULL SIZE 1 COUNT</t>
  </si>
  <si>
    <t>COVER STOCK POT ALUMINUM 50 QUART 1 COUNT</t>
  </si>
  <si>
    <t>COVER ALUMINUM STOCK POT 60 QT2.0 1 COUNT</t>
  </si>
  <si>
    <t>COVER ALUMINUM STOCK POT 80 QT2.0 1 COUNT</t>
  </si>
  <si>
    <t>RACK 20 TIER ALUMINUM 1 COUNT</t>
  </si>
  <si>
    <t>STOCK POT ALUMINUM 100 QUART 1 COUNT</t>
  </si>
  <si>
    <t>STOCK POT ALUMINUM 20 QUART 1 COUNT</t>
  </si>
  <si>
    <t>STOCK POT ALUMINUM 24 QUART 4.0MM 1 COUNT</t>
  </si>
  <si>
    <t>STOCK POT ALUMINUM 32 QUART 4.0MM 1 COUNT</t>
  </si>
  <si>
    <t>STOCK POT ALUMINUM 40 LOAD QUART 4.0MM 1 COUNT</t>
  </si>
  <si>
    <t>STOCK POT 50 QUART ALUMINUM 4.75MM 1 COUNT</t>
  </si>
  <si>
    <t>STOCK POT ALUMINUM 60 QUART 4.75MM 1 COUNT</t>
  </si>
  <si>
    <t>STOCK POT ALUMINUM 80 QUART 4.75MM 1 COUNT</t>
  </si>
  <si>
    <t>SHEET PAN ALUMINUM 9.5X13 24 COUNT</t>
  </si>
  <si>
    <t>SHEET PAN HALF SIZE 13X18 12 COUNT</t>
  </si>
  <si>
    <t>SHEET PAN ALUMINUM 18X26 ALUMINUM 12 COUNT</t>
  </si>
  <si>
    <t>SHEET PAN ALUMINUM 18X26 12 COUNT</t>
  </si>
  <si>
    <t>COOKER PASTA 20 QUART 1 COUNT</t>
  </si>
  <si>
    <t>SAUCE PAN ALUMINUM ONE QUART 1 COUNT</t>
  </si>
  <si>
    <t>SAUCE PAN ALUMINUM 10 QUART 1 COUNT</t>
  </si>
  <si>
    <t>COVER SAUCE PAN 10 QUART 1 COUNT</t>
  </si>
  <si>
    <t>COVER SAUCE PAN ONE QUART 1 COUNT</t>
  </si>
  <si>
    <t>SAUCE PAN ALUMINUM 2 1/2 QUART 1 COUNT</t>
  </si>
  <si>
    <t>COVER SAUCE PAN 2 1/2 QUART 1 COUNT</t>
  </si>
  <si>
    <t>SAUCE PAN ALUMINUM 3 3/4 QUART 1 COUNT</t>
  </si>
  <si>
    <t>COVER SAUCE PAN 3 3/4 QUART 1 COUNT</t>
  </si>
  <si>
    <t>SAUCE PAN ALUMINUM 4 1/4 QUART 1 COUNT</t>
  </si>
  <si>
    <t>COVER SAUCE PAN 4 1/4 QUART 1 COUNT</t>
  </si>
  <si>
    <t>SAUCE PAN ALUMINUM 5 QUART 1 COUNT</t>
  </si>
  <si>
    <t>COVER SAUCE PAN 5 QUART 1 COUNT</t>
  </si>
  <si>
    <t>SAUCE POT 8 QUART ALUMINUM 1 COUNT</t>
  </si>
  <si>
    <t>COVER ALUMINUM SAUCE POT 8 QUART 1 COUNT</t>
  </si>
  <si>
    <t>SAUCE POT 14 QUART ALUMINUM 1 COUNT</t>
  </si>
  <si>
    <t>COVER SAUCE POT ALUMINUM 14 QUART 1 COUNT</t>
  </si>
  <si>
    <t>SAUCE POT 20 QUART ALUMINUM 1 COUNT</t>
  </si>
  <si>
    <t>COVER SAUCE POT ALUMINUM 20 QUART 1 COUNT</t>
  </si>
  <si>
    <t>CHAFER WITH POLISHED COVER &amp; HOLD DEVICE 1 COUNT</t>
  </si>
  <si>
    <t>CHAFER ROLL TOP GOLD ACCENT 8 QUART 1 COUNT</t>
  </si>
  <si>
    <t>CHAFER HEAVY GOLD ACCENT 8 QUART 1 COUNT</t>
  </si>
  <si>
    <t>SYSTEM CROWD GUIDANCE BLACK 6.5BELT 2 COUNT</t>
  </si>
  <si>
    <t>HIGH CHAIR STACKING N NON. ASSEMBLED 1 COUNT</t>
  </si>
  <si>
    <t>HIGH CHAIR STACKING MAHOGANY NON ASSEMBLED 1 COUNT</t>
  </si>
  <si>
    <t>HIGH CHAIR STACKING WALNUT NON ASSEMBLED 1 COUNT</t>
  </si>
  <si>
    <t>GARLIC PRESS SELF CLEANING 1 COUNT</t>
  </si>
  <si>
    <t>CLEAVER HEAVY DUTY WITH WOOD HANDLE 1 COUNT</t>
  </si>
  <si>
    <t>LOBSTER CRACKER STAINLESS STEEL 1 COUNT</t>
  </si>
  <si>
    <t>LOBSTER CRACKER CHROME PLATED 1 COUNT</t>
  </si>
  <si>
    <t>LED SIGN TRANSPARENT CVROPEN 1 COUNT</t>
  </si>
  <si>
    <t>LED SIGN PIZZA TRANSPARENT COVER 1 COUNT</t>
  </si>
  <si>
    <t>SLICER MANDOLINE HAND GUA 1 COUNT</t>
  </si>
  <si>
    <t>MENU &amp; CARD HOLDER 2 1/4X2 1/3 2 DOZEN</t>
  </si>
  <si>
    <t>OIL MOP 13 O.L. 1 COUNT</t>
  </si>
  <si>
    <t>DOUGH BOX 18.5X26X3 1 EACH</t>
  </si>
  <si>
    <t>COVER FOR DOUGH BOX PL3 &amp; PL6 1 EACH</t>
  </si>
  <si>
    <t>MENU COVER SINGLE 14X8.5 BLACK 25 COUNT</t>
  </si>
  <si>
    <t>MENU COVER SINGLE 8.5X5.5 BLACK 25 COUNT</t>
  </si>
  <si>
    <t>MENU COVER SINGLE BLACK 25 COUNT</t>
  </si>
  <si>
    <t>MENU COVER SINGLE BURGUNDY 25 COUNT</t>
  </si>
  <si>
    <t>MENU COVER DOUBLE FOLD BLACK 25 COUNT</t>
  </si>
  <si>
    <t>MENU COVER DOUBLE FOLD BURGUNDY 25 COUNT</t>
  </si>
  <si>
    <t>MENU COVER TRIPLE FOLD BLACK 25 COUNT</t>
  </si>
  <si>
    <t>RICER POTATO STAINLESS STEEL 1 COUNT</t>
  </si>
  <si>
    <t>SCRAPER SILICONE BOWL SHAPE 10 INCH 1 COUNT</t>
  </si>
  <si>
    <t>SCRAPER SILICONE BOWL SHAPED 14 1 COUNT</t>
  </si>
  <si>
    <t>SCRAPER SILICONE BOWL SHAPED 16 1 COUNT</t>
  </si>
  <si>
    <t>SCRAPER SILICONE 10 1/2 1 COUNT</t>
  </si>
  <si>
    <t>SCRAPER SILICONE 14 1 COUNT</t>
  </si>
  <si>
    <t>SCRAPER SILICONE 16 1/4 1 COUNT</t>
  </si>
  <si>
    <t>COOKER RICE ELECTRIC 30 CUP 1 COUNT</t>
  </si>
  <si>
    <t>COOKER &amp; WARMER RICE ADVANCED ELECTRIC 1 COUNT</t>
  </si>
  <si>
    <t>SCRAP BLOCK RUBBER 1 COUNT</t>
  </si>
  <si>
    <t>SKILLET CALIFORNIA STYLE IRON 10 INCH 1 COUNT</t>
  </si>
  <si>
    <t>SKILLET CALIFORNIA STYLE IRON 12 INCH 1 COUNT</t>
  </si>
  <si>
    <t>SKILLET CALIFORNIA STYLE IRON 6 1/2 1 COUNT</t>
  </si>
  <si>
    <t>PLATTER SIZZLING STAINLESS STEEL OVAL 1 COUNT</t>
  </si>
  <si>
    <t>COVER SLOTTED PAN 1/1 POLY. 1 COUNT</t>
  </si>
  <si>
    <t>PAN FULL SIZE 2.5 POLY. 4 DEEP 1 COUNT</t>
  </si>
  <si>
    <t>PAN FULL SIZE 4 POLY. 1 COUNT</t>
  </si>
  <si>
    <t>PAN FULL SIZE 6 POLY. 1 COUNT</t>
  </si>
  <si>
    <t>COVER SLOTTED PAN 1/2 POLY. 1 COUNT</t>
  </si>
  <si>
    <t>PAN 1/2 SIZE 2 1/2 POLYPROPYLENE 1 COUNT</t>
  </si>
  <si>
    <t>PAN 1/2 SIZE 4 POLY. 1 COUNT</t>
  </si>
  <si>
    <t>PAN 1/2 SIZE 6 POLY. 1 COUNT</t>
  </si>
  <si>
    <t>COVER SLOTTED PAN 1/3 POLY. 1 COUNT</t>
  </si>
  <si>
    <t>PAN 1/3 SIZE 2 1/2 POLYPROPYLENE 1 COUNT</t>
  </si>
  <si>
    <t>PAN 1/3 SIZE 4 POLY. 1 COUNT</t>
  </si>
  <si>
    <t>PAN 1/3 SIZE 6 POLY. 1 COUNT</t>
  </si>
  <si>
    <t>COVER SLOTTED PAN 1/4 POLY. 1 COUNT</t>
  </si>
  <si>
    <t>PAN 1/4 SIZE 4 POLY. 1 COUNT</t>
  </si>
  <si>
    <t>PAN 1/4 SIZE 6 POLY. 1 COUNT</t>
  </si>
  <si>
    <t>COVER SLOTTED PAN 1/6 POLY. 1 COUNT</t>
  </si>
  <si>
    <t>PAN 1/6 SIZE 2 1/2 POLYPROPYLENE 1 COUNT</t>
  </si>
  <si>
    <t>PAN 1/6 SIZE 4 POLY. 1 COUNT</t>
  </si>
  <si>
    <t>PAN 1/6 SIZE 6 POLY. 1 COUNT</t>
  </si>
  <si>
    <t>COVER SLOTTED PAN 1/9 POLY. 1 COUNT</t>
  </si>
  <si>
    <t>PAN 1/9 SIZE 2 1/2 POLYPROPYLENE 1 COUNT</t>
  </si>
  <si>
    <t>PAN 1/9 SIZE 4 POLY. 1 COUNT</t>
  </si>
  <si>
    <t>FRY PAN NON STICK STAINLESS STEEL 11 1 COUNT</t>
  </si>
  <si>
    <t>FRY PAN NON STICK STAINLESS STEEL 8 INCH 1 COUNT</t>
  </si>
  <si>
    <t>FRY PAN STAINLESS STEEL 9 1/2 1 COUNT</t>
  </si>
  <si>
    <t>FRY PAN NON STICK STAINLESS STEEL 9 1 COUNT</t>
  </si>
  <si>
    <t>SAUCE PAN WITH COVER 2QT61/4X33/4 1 COUNT</t>
  </si>
  <si>
    <t>SAUCE PAN STAINLESS STEEL 3.5QT WITH COVER 1 COUNT</t>
  </si>
  <si>
    <t>SAUCE PAN STAINLESS STEEL 4.5QT WITH COVER 1 COUNT</t>
  </si>
  <si>
    <t>STOCK POT STAINLESS STEEL WITH COVER 12 QUART 1 COUNT</t>
  </si>
  <si>
    <t>STOCK POT WITH COVER 16 QUART STAINLESS STEEL 1 COUNT</t>
  </si>
  <si>
    <t>STOCK POT STAINLESS STEEL WITH COVER 20 QUART 1 COUNT</t>
  </si>
  <si>
    <t>STOCK POT STAINLESS STEEL WITH COVER 24 QUART 1 COUNT</t>
  </si>
  <si>
    <t>STOCK POT STAINLESS STEEL WITH COVER 8 QUART 1 COUNT</t>
  </si>
  <si>
    <t>VEGETABLE MILL W/4DISHES 8 INCH 1 COUNT</t>
  </si>
  <si>
    <t>STEAK WEIGHT CALIFORNIA STYLE IRON 1 COUNT</t>
  </si>
  <si>
    <t>STEAK WEIGHT CAST IRON 9X5 1/4 1 COUNT</t>
  </si>
  <si>
    <t>UNDERLINER SIZE 11 1 COUNT</t>
  </si>
  <si>
    <t>STAND WOOD TRAY WALNUT 1 COUNT</t>
  </si>
  <si>
    <t>STAND WOOD TRAY MAHOGANY 1 COUNT</t>
  </si>
  <si>
    <t>TRAY FOLDING STAND 31 TALL 1 COUNT</t>
  </si>
  <si>
    <t>CART UTILITY 3 TIER GREY 1 COUNT</t>
  </si>
  <si>
    <t>CART UTILITY 3 TIER BLACK 1 COUNT</t>
  </si>
  <si>
    <t>WINE BUCKET STAND PIPE NARROW BASE 1 COUNT</t>
  </si>
  <si>
    <t>WINE BUCKET HEAVY W/RIBS 4 QUART 1 COUNT</t>
  </si>
  <si>
    <t>WINE COOLER DOUBLE WALL STAINLESS STEEL 1 COUNT</t>
  </si>
  <si>
    <t>PITCHER W/ICE CATCHER 2 QUART 1 COUNT</t>
  </si>
  <si>
    <t>PITCHER W/ICE CATCHER 3 QUART 1 COUNT</t>
  </si>
  <si>
    <t>PITCHER WATER POLYCARBONATE 60 OZ. 1 COUNT</t>
  </si>
  <si>
    <t>PITCHER PC. 3 SPOUT CLEAR 1 COUNT</t>
  </si>
  <si>
    <t>WIN-HOLT EQUIPMENT GROUP</t>
  </si>
  <si>
    <t>RACK ALUMINUM HOLDS 20 18X26 1 COUNT</t>
  </si>
  <si>
    <t>RACKS DUNNAGE 36X20X12 1 EACH</t>
  </si>
  <si>
    <t>RACKS DUNNAGE 48X20X12 1 EACH</t>
  </si>
  <si>
    <t>COVER RACK 3 ZIPPER CLEAR 1 COUNT</t>
  </si>
  <si>
    <t>SHELVES WALL STAINLESS 12X48 1 COUNT</t>
  </si>
  <si>
    <t>SHELVES WALL STAINLESS 12X60 1 COUNT</t>
  </si>
  <si>
    <t>TRAY DISPLAY WHITE 18X26X1 24 COUNT</t>
  </si>
  <si>
    <t>LUGBOX CONTAINER GREY 16X25 6 COUNT</t>
  </si>
  <si>
    <t>SINK HAND WALL MOUNT 1 COUNT</t>
  </si>
  <si>
    <t>WORLD TABLEWARE / DIV.LIBBEY INC</t>
  </si>
  <si>
    <t>TEASPOON STAINLESS STEEL CORAL 3 DOZEN</t>
  </si>
  <si>
    <t>CORAL BOUILLON SPOON 3 DOZEN</t>
  </si>
  <si>
    <t>FORK STAINLESS STEEL DINNER CORAL 3 DOZEN</t>
  </si>
  <si>
    <t>FORK STAINLESS STEEL SALAD CORAL 3 DOZEN</t>
  </si>
  <si>
    <t>KNIFE STAINLESS STEEL DINNER 1 PIECE CORAL 1 DOZEN</t>
  </si>
  <si>
    <t>REFLECTIONS TEASPOON 3 DOZEN</t>
  </si>
  <si>
    <t>REFLECTIONS DINNER FORK 3 DOZEN</t>
  </si>
  <si>
    <t>REFLECTIONS DINNER KNIFE 1 DOZEN</t>
  </si>
  <si>
    <t>TEASPOON STAINLESS STEEL HARBOURORCL 3 DOZEN</t>
  </si>
  <si>
    <t>SPOON STAINLESS STEEL DESSERT HARBOUR 3 DOZEN</t>
  </si>
  <si>
    <t>HARBOUR TABLESPOON 3 DOZEN</t>
  </si>
  <si>
    <t>HARBOUR BOUILLON SPOON 3 DOZEN</t>
  </si>
  <si>
    <t>FORK STAINLESS STEEL DINNER HARBOUR 3 DOZEN</t>
  </si>
  <si>
    <t>FORK STAINLESS STEEL SALAD HARBOUR 3 DOZEN</t>
  </si>
  <si>
    <t>KNIFE STAINLESS STEEL DINNER 1 PIECE HARBOUR 1 DOZEN</t>
  </si>
  <si>
    <t>TEASPOON STAINLESS STEEL FREEDOM 3 DOZEN</t>
  </si>
  <si>
    <t>SPOON DESSERT FRED'S MOZZARELLA BATTERED UNDECORATED PORCELANA 3 DOZEN</t>
  </si>
  <si>
    <t>SPOON STAINLESS STEEL BOUILLON FREEDOM 3 DOZEN</t>
  </si>
  <si>
    <t>FORK STAINLESS STEEL FREEDOM 3 DOZEN</t>
  </si>
  <si>
    <t>FORK STAINLESS STEEL FREEDOM 4 TINE 3 DOZEN</t>
  </si>
  <si>
    <t>FORK SALAD FREEDOM 3 TINE 3 DOZEN</t>
  </si>
  <si>
    <t>FREEDOM DINNER KNIFE 1 DOZEN</t>
  </si>
  <si>
    <t>TEASPOON STAINLESS STEEL LINDA 3 DOZEN</t>
  </si>
  <si>
    <t>SPOON STAINLESS STEEL DESSERT LINDA 3 DOZEN</t>
  </si>
  <si>
    <t>SPOON STAINLESS STEEL BOUILLON LINDA 3 DOZEN</t>
  </si>
  <si>
    <t>FORK STAINLESS STEEL DINNER LINDA 3 DOZEN</t>
  </si>
  <si>
    <t>KNIFE STAINLESS STEEL DINNER 1 PIECE LINDA 1 DOZEN</t>
  </si>
  <si>
    <t>SPOON BOUILLONS REGENCY 3 DOZEN</t>
  </si>
  <si>
    <t>FORK DINNER REGENCY 3 DOZEN</t>
  </si>
  <si>
    <t>KNIFE DINNER REGENCY 1 DOZEN</t>
  </si>
  <si>
    <t>TEASPOON STAINLESS STEEL COLONY 3 DOZEN</t>
  </si>
  <si>
    <t>SPOON BOUILLONS COLONY 3 DOZEN</t>
  </si>
  <si>
    <t>TEASPOON ICED COLONY 3 DOZEN</t>
  </si>
  <si>
    <t>FORK STAINLESS STEEL DINNER COLONY 3 DOZEN</t>
  </si>
  <si>
    <t>FORK STAINLESS STEEL SALAD COLONY 3 DOZEN</t>
  </si>
  <si>
    <t>KNIFE STAINLESS STEEL DINNER COLONY 1 DOZEN</t>
  </si>
  <si>
    <t>TEASPOON STAINLESS STEEL SALEM 3 DOZEN</t>
  </si>
  <si>
    <t>SPOON STAINLESS STEEL BOUILLON SALEM 3 DOZEN</t>
  </si>
  <si>
    <t>FORK STAINLESS STEEL DINNER SALEM 3 DOZEN</t>
  </si>
  <si>
    <t>SALEM DINNER KNIFE 1 DOZEN</t>
  </si>
  <si>
    <t>TEASPOON HEAVYWEIGHT 3 DOZEN</t>
  </si>
  <si>
    <t>SPOON HEAVYWEIGHT 3 DOZEN</t>
  </si>
  <si>
    <t>WINDSOR ICED TEA SPOON 3 DOZEN</t>
  </si>
  <si>
    <t>FORK DINNER WINDSOR 3 DOZEN</t>
  </si>
  <si>
    <t>KNIFE DINNER WINDSOR 1 DOZEN</t>
  </si>
  <si>
    <t>WELLINGTON TEASPOON 3 DOZEN</t>
  </si>
  <si>
    <t>WELLINGTON BOUILLON SPOON 3 DOZEN</t>
  </si>
  <si>
    <t>WELLINGTON SPOON ICED TEA 3 DOZEN</t>
  </si>
  <si>
    <t>WELLINGTON FORK COCKTAIL 3 DOZEN</t>
  </si>
  <si>
    <t>WELLINGTON FORK DINNER 3 DOZEN</t>
  </si>
  <si>
    <t>WELLINGTON FORK SALAD 3 DOZEN</t>
  </si>
  <si>
    <t>WELLINGTON KNIFE DINNER 1 DOZEN</t>
  </si>
  <si>
    <t>TEASPOON RIVA AMERICAN 3 DOZEN</t>
  </si>
  <si>
    <t>RIVA BOUILLON SPOON 3 DOZEN</t>
  </si>
  <si>
    <t>FORK UTILITY DINNER RIVA AMERICAN 3 DOZEN</t>
  </si>
  <si>
    <t>FORK SALAD RIVA AMERICAN 3 DOZEN</t>
  </si>
  <si>
    <t>KNIFE DINNER RIVA AMERICAN 1 DOZEN</t>
  </si>
  <si>
    <t>CASCADE TEASUND WHITE 3 DOZEN</t>
  </si>
  <si>
    <t>SPOON CASCADE BOUILLON 3 DOZEN</t>
  </si>
  <si>
    <t>FORK DINNER UTILITY CASCADE 3 DOZEN</t>
  </si>
  <si>
    <t>KNIFE CASCADE DINNER 1 DOZEN</t>
  </si>
  <si>
    <t>KNIFE STEAK WOOD HANDLE 10 INCH BEEF BARON 1 DOZEN</t>
  </si>
  <si>
    <t>KNIFE STEAK 8.5 ROUND TIP WOOD 2 DOZEN</t>
  </si>
  <si>
    <t>KNIFE BEEF BARON PLASTIC HANDLE STEAK 10 INCH 1 DOZEN</t>
  </si>
  <si>
    <t>KNIFE 9.25 BLACK POINTED TIP STEAK 1 DOZEN</t>
  </si>
  <si>
    <t>KNIFE 8 7/8 ROUND TIP STEAK 1 DOZEN</t>
  </si>
  <si>
    <t>KNIFE STEAK 9 PLASTIC 1 DOZEN</t>
  </si>
  <si>
    <t>WINDSOR TEASPOON MEDIUM WEIGHT 3 DOZEN</t>
  </si>
  <si>
    <t>SPOON DESSERT WINDSOR MEDIUM WEIGHT 3 DOZEN</t>
  </si>
  <si>
    <t>WINDSOR TABLESPOON MEDIUM WEIGHT 3 DOZEN</t>
  </si>
  <si>
    <t>SPOON DEMITASSE MEDIUM WEIGHT WINDSOR 3 DOZEN</t>
  </si>
  <si>
    <t>SPOON BOUILLONS MEDIUM WEIGHT WINDSOR 3 DOZEN</t>
  </si>
  <si>
    <t>FORK COCKTAIL WINDSOR MEDIUM WEIGHT 3 DOZEN</t>
  </si>
  <si>
    <t>FORK DINNER MEDIUM WEIGHT WINDSOR 3 DOZEN</t>
  </si>
  <si>
    <t>WINDSOR SALAD FORK MEDIUM WEIGHT 3 DOZEN</t>
  </si>
  <si>
    <t>DINNER KNIFE MEDIUM WEIGHT WINDSOR 1 DOZEN</t>
  </si>
  <si>
    <t>TEASPOON MEDIUM WEIGHT DOMINION 3 DOZEN</t>
  </si>
  <si>
    <t>SPOON BOUILLON MEDIUM WEIGHT DOMINION 3 DOZEN</t>
  </si>
  <si>
    <t>SPOON ICED TEA MEDIUM WEIGHT 3 DOZEN</t>
  </si>
  <si>
    <t>FORK COCKTAIL MEDIUM WEIGHT DOMINION 3 DOZEN</t>
  </si>
  <si>
    <t>FORK DINNER MEDIUM WEIGHT DOMINION 3 DOZEN</t>
  </si>
  <si>
    <t>FORK SALAD MEDIUM WEIGHT DOMINION 3 DOZEN</t>
  </si>
  <si>
    <t>KNIFE DINNER MEDIUM WEIGHT DOMINION 1 DOZEN</t>
  </si>
  <si>
    <t>CUP TALL 7OZ UNDECORATED PORCELANA 3 DOZEN</t>
  </si>
  <si>
    <t>CUP STACKABLE 7OZ UNDECORATED PORCELANA 3 DOZEN</t>
  </si>
  <si>
    <t>MUG WHITE 8.5OZ UNDECORATED PORCELANA 3 DOZEN</t>
  </si>
  <si>
    <t>SAUCER 5.5 UNDECORATED PORCELANA 3 DOZEN</t>
  </si>
  <si>
    <t>FRUIT 4 7/8 UNDECORATED PORCELANA 3 DOZEN</t>
  </si>
  <si>
    <t>DISH GRAPEFRUIT UNDECORATED PORCELANA 3 DOZEN</t>
  </si>
  <si>
    <t>SOUP BOWL 9 DEEP RIM UNDECORATED PORCELANA 3 DOZEN</t>
  </si>
  <si>
    <t>DISH BOUILLON 7OZ UNDECORATED PORCELANA 3 DOZEN</t>
  </si>
  <si>
    <t>DISH NAPPIES 10O UNDECORATED PORCELANA 3 DOZEN</t>
  </si>
  <si>
    <t>DISH NAPPIES 15OZ UNDECORATED PORCELANA 3 DOZEN</t>
  </si>
  <si>
    <t>BOWL 12 INCH PASTA UNDECORATED PORCELANA 1 DOZEN</t>
  </si>
  <si>
    <t>PLATE 5.5 UNDECORATED PORCELANA 3 DOZEN</t>
  </si>
  <si>
    <t>PLATE 6.5 UNDECORATED PORCELANA 3 DOZEN</t>
  </si>
  <si>
    <t>PLATE 6.25 UNDECORATED PORCELANA 3 DOZEN</t>
  </si>
  <si>
    <t>PLATE 7.25NR UNDECORATED PORCELANA 3 DOZEN</t>
  </si>
  <si>
    <t>PLATE 7 1/8 UNDECORATED PORCELANA 3 DOZEN</t>
  </si>
  <si>
    <t>PLATE 9 UNDECORATED PORCELANA 2 DOZEN</t>
  </si>
  <si>
    <t>PLATE 9 1/2 INCHES UNDECORATED PORCELANA 2 DOZEN</t>
  </si>
  <si>
    <t>PLATE 10 3/8 UNDECORATED 2 DOZEN</t>
  </si>
  <si>
    <t>PLATE PORCELANA 12 INCH UNDECORATED 1 DOZEN</t>
  </si>
  <si>
    <t>PLATTER 11.5 UNDECORATED PORCELANA 1 DOZEN</t>
  </si>
  <si>
    <t>PLATTER 11 3/4 INCHES UNDECORATED PORCELANA 1 DOZEN</t>
  </si>
  <si>
    <t>PLATTER 13.5 OVAL PORCELANA 1 DOZEN</t>
  </si>
  <si>
    <t>MUG 7.5 OUNCE UNDECORATED CANTON 2 DOZEN</t>
  </si>
  <si>
    <t>CREME BRULEE 4 OUNCE 2 DOZEN</t>
  </si>
  <si>
    <t>CREME BRULEE 8 OUNCE ROUND 2 DOZEN</t>
  </si>
  <si>
    <t>MUG WHITE 12 OUNCE C-HANDLE 1 DOZEN</t>
  </si>
  <si>
    <t>CUP TALL 7OZ DESERT SAND 3 DOZEN</t>
  </si>
  <si>
    <t>BOWL GRAPEFRUIT DESERT SAND 3 DOZEN</t>
  </si>
  <si>
    <t>DISH 4 5/8 DESERT SAND 3 DOZEN</t>
  </si>
  <si>
    <t>PLATTER 9 1/2 INCHES DESERT SAND 2 DOZEN</t>
  </si>
  <si>
    <t>PLATTER 11.5 DESERT SAND 1 DOZEN</t>
  </si>
  <si>
    <t>PLATTER 13.25 DESERT SAND 1 DOZEN</t>
  </si>
  <si>
    <t>BOWL DESERT SAND R.E. NAPPY 12.5 3 DOZEN</t>
  </si>
  <si>
    <t>PLATE 10.5 DESERT SAND 1 DOZEN</t>
  </si>
  <si>
    <t>MUG 8.5OZ SVL DESERT SAND 3 DOZEN</t>
  </si>
  <si>
    <t>SAUCER 6 DESERT SAND 3 DOZEN</t>
  </si>
  <si>
    <t>BOUILLON 7.25OZ DESERT SAND 3 DOZEN</t>
  </si>
  <si>
    <t>PLATE 6.5 DESERT SAND 3 DOZEN</t>
  </si>
  <si>
    <t>PLATE 7.25 DESERT SAND 3 DOZEN</t>
  </si>
  <si>
    <t>PLATE 9 DESERT SAND 2 DOZEN</t>
  </si>
  <si>
    <t>PLATE 9 1/2 INCHES DESERT SAND 2 DOZEN</t>
  </si>
  <si>
    <t>ENDURANCE PLATE 10 1/4 1 DOZEN</t>
  </si>
  <si>
    <t>ENDURANCE SAUCER 5 INCH 3 DOZEN</t>
  </si>
  <si>
    <t>ENDURANCE STACKING BOUILLON 7 0Z 3 DOZEN</t>
  </si>
  <si>
    <t>ENDURANCE FRUIT BOWL 5 3/4 3 DOZEN</t>
  </si>
  <si>
    <t>ENDURANCE 9 13 OUNCE RIM DEEP SOUP 3 DOZEN</t>
  </si>
  <si>
    <t>CUP TEA ENDURANCE 7 OUNCE 3 DOZEN</t>
  </si>
  <si>
    <t>ENDURANCE STACKING CUP 7 OUNCE 3 DOZEN</t>
  </si>
  <si>
    <t>ENDURANCE PLATE 6 1/4 3 DOZEN</t>
  </si>
  <si>
    <t>ENDURANCE PLATE 7 1/4 3 DOZEN</t>
  </si>
  <si>
    <t>ENDURANCE PLATE 9 2 DOZEN</t>
  </si>
  <si>
    <t>HANDLED SKILLET 12 OUNCE 1 DOZEN</t>
  </si>
  <si>
    <t>SKILLET HANDLED 18 OUNCE 1 DOZEN</t>
  </si>
  <si>
    <t>CUP 7OZ LOW KINGSMEN 3 DOZEN</t>
  </si>
  <si>
    <t>FRUIT NO RIM UNDECORATED CREAM WHITE 3 DOZEN</t>
  </si>
  <si>
    <t>PLATTER 9 1/2 INCHES UNDECORATED KINGSMEN 2 DOZEN</t>
  </si>
  <si>
    <t>PLATTER 11.5 UNDECORATED KINGSMEN CREAM WHITE 1 DOZEN</t>
  </si>
  <si>
    <t>PLATTER 13.25 UNDECORATED KINGSMEN 1 DOZEN</t>
  </si>
  <si>
    <t>PLATE 10.5 UNDECORATED KINGSMEN 1 DOZEN</t>
  </si>
  <si>
    <t>SAUCER 5.5 UNDECORATED KINGSMEN 3 DOZEN</t>
  </si>
  <si>
    <t>PLATE 5.5 UNDECORATED KINGSMEN 3 DOZEN</t>
  </si>
  <si>
    <t>PLATE 6.5 UNDECORATED KINGSMEN 3 DOZEN</t>
  </si>
  <si>
    <t>PLATE 7.25 UNDECORATED KINGSMEN 3 DOZEN</t>
  </si>
  <si>
    <t>PLATE 9 UNDECORATED KINGSMEN CREAM WHITE 2 DOZEN</t>
  </si>
  <si>
    <t>PLATE 9 1/2 INCHES KINGSMEN CREAM WHITE 2 DOZEN</t>
  </si>
  <si>
    <t>RAREBIT OVAL 12OZ WHITE W/ WHITE 2 DOZEN</t>
  </si>
  <si>
    <t>WELSH RAREBIT WHITE OVAL 15 OZ 2 DOZEN</t>
  </si>
  <si>
    <t>WELSH RAREBIT 8 OUNCE WHITE OVAL 2 DOZEN</t>
  </si>
  <si>
    <t>CROCK ONION SOUP 12OZ BROWN 2 DOZEN</t>
  </si>
  <si>
    <t>CROCK ONION SOUP 12OZ CARAMEL/BROWN 2 DOZEN</t>
  </si>
  <si>
    <t>CROCK ONION SOUP WITH HANDLE 15OZ 2 DOZEN</t>
  </si>
  <si>
    <t>CUP 7OZ TALL UNDECORATED WHITE IN 3 DOZEN</t>
  </si>
  <si>
    <t>GRAPE UNDECORATED WHITE 3 DOZEN</t>
  </si>
  <si>
    <t>FRUIT 4.75 OUNCE UNDECORATED WHITE 3 DOZEN</t>
  </si>
  <si>
    <t>PLATTER 10 3/8 UNDECORATED WHITE 2 DOZEN</t>
  </si>
  <si>
    <t>PLATTER 11.5 UNDECORATED WHITE 1 DOZEN</t>
  </si>
  <si>
    <t>PLATTER 12.5 UNDECORATED WHITE 1 DOZEN</t>
  </si>
  <si>
    <t>PRINCESS WHITE 12.5 OUNCE 3 DOZEN</t>
  </si>
  <si>
    <t>PLATTER 8 1/8 UNDECORATED WHITE 3 DOZEN</t>
  </si>
  <si>
    <t>NAPPIE 16OZ UNDECORATED WHITE 3 DOZEN</t>
  </si>
  <si>
    <t>SAUCER 6 UNDECORATED WHITE 3 DOZEN</t>
  </si>
  <si>
    <t>NAPPIE 10OZ UNDECORATED WHITE 3 DOZEN</t>
  </si>
  <si>
    <t>BOWL SOUP 8.75 UNDECORATED WHITE 2 DOZEN</t>
  </si>
  <si>
    <t>PLATE 6.25 UNDECORATED WHITE 3 DOZEN</t>
  </si>
  <si>
    <t>DISH FRUIT 4.19 3 OUNCE PRINCESS WHITE 3 DOZEN</t>
  </si>
  <si>
    <t>PLATTER 9 3/8 UNDECORATED WHITE 2 DOZEN</t>
  </si>
  <si>
    <t>GLASS 12 INCH PASTA BOWL PRINCESS WHITE 1 DOZEN</t>
  </si>
  <si>
    <t>BOUILLON 7.25OZ UNDECORATED WHITE 3 DOZEN</t>
  </si>
  <si>
    <t>PLATE PRINCESS WHITE 5.5 3 DOZEN</t>
  </si>
  <si>
    <t>PLATE PRINCESS WHITE 12 INCH 1 DOZEN</t>
  </si>
  <si>
    <t>PLATE 6 5/8 REUSABLE UNDECORATED WHITE 3 DOZEN</t>
  </si>
  <si>
    <t>PLATTER PRINCESS WHITE 13.5 ROLLED EDGE 1 DOZEN</t>
  </si>
  <si>
    <t>PLATE 7 1/8 REUSABLE UNDECORATED WHITE 3 DOZEN</t>
  </si>
  <si>
    <t>PLATE 9 REUSABLE UNDECORATED WHITE 2 DOZEN</t>
  </si>
  <si>
    <t>PLATE 9 3/4 INCHES REUSABLE UNDECORATED WHITE 2 DOZEN</t>
  </si>
  <si>
    <t>MUG 7 OUNCE CARAMEL PRINCESS 3 DOZEN</t>
  </si>
  <si>
    <t>MUG 7 OUNCE WHITE PRINCESS 3 DOZEN</t>
  </si>
  <si>
    <t>PLATE SQUARE 10.6 SLATE 1 DOZEN</t>
  </si>
  <si>
    <t>BOWL PASTA 9.88 SQUARE SLATE 1 DOZEN</t>
  </si>
  <si>
    <t>PLATE SLATE 8 INCH RECTANGULAR 8X5.6 2 DOZEN</t>
  </si>
  <si>
    <t>PLATE SLATE RECTANGULAR 11X5 1 DOZEN</t>
  </si>
  <si>
    <t>PLATE RECTANGLE SLATE 16X5.5 1 DOZEN</t>
  </si>
  <si>
    <t>SLATE 12X6.5 RECTANGLE 1 DOZEN</t>
  </si>
  <si>
    <t>SLATE PLATE 12 INCH 6 COUNT</t>
  </si>
  <si>
    <t>PLATE SLATE 6.25 SQUARE 3 DOZEN</t>
  </si>
  <si>
    <t>PLATE SLATE 7.25 SQUARE 2 DOZEN</t>
  </si>
  <si>
    <t>PLATE 9 SLATE SQUARE 1 DOZEN</t>
  </si>
  <si>
    <t>WHITE SUGAR PACKET HOLDER 4 DOZEN</t>
  </si>
  <si>
    <t>MUGS 8.5 OUNCE TIARA CREAM WHITE 3 DOZEN</t>
  </si>
  <si>
    <t>FRUIT 4 3/4 INCHES VICEROY GREEN 3 DOZEN</t>
  </si>
  <si>
    <t>PLATTER 11.5 REUSABLE VICEROY GREEN 1 DOZEN</t>
  </si>
  <si>
    <t>PLATTER VICEROY 12 1/2 1 DOZEN</t>
  </si>
  <si>
    <t>PLATE 10 1/4 REUSABLE VICEROY GREEN 1 DOZEN</t>
  </si>
  <si>
    <t>BOWL SOUP 12 OUNCE VICEROY GREEN 2 DOZEN</t>
  </si>
  <si>
    <t>BOUILLON 7.25 OUNCE VICEROY GREEN 3 DOZEN</t>
  </si>
  <si>
    <t>PLATE VICEROY 6 5/8 3 DOZEN</t>
  </si>
  <si>
    <t>PLATE VICEROY 7 1/8 3 DOZEN</t>
  </si>
  <si>
    <t>PLATE 9 VICEROY GREEN 2 DOZEN</t>
  </si>
  <si>
    <t>PLATE VICEROY 9 3/4 INCHES 2 DOZEN</t>
  </si>
  <si>
    <t>CUP 7 OUNCE WELLINGTON 3 DOZEN</t>
  </si>
  <si>
    <t>GRAPEFRUIT 6 3/8 WELLINGTON 3 DOZEN</t>
  </si>
  <si>
    <t>FRUIT 5 INCH WELLINGTON 3 DOZEN</t>
  </si>
  <si>
    <t>PLATE 10.25 WELLINGTON 1 DOZEN</t>
  </si>
  <si>
    <t>SAUCER 5.5 WELLINGTON 3 DOZEN</t>
  </si>
  <si>
    <t>BOUILLON 7 OUNCE WELLINGTON 3 DOZEN</t>
  </si>
  <si>
    <t>PLATE 5.5 WELLINGTON 3 DOZEN</t>
  </si>
  <si>
    <t>PLATE 6 3/8 WELLINGTON 3 DOZEN</t>
  </si>
  <si>
    <t>PLATE 7 1/8 WELLINGTON 3 DOZEN</t>
  </si>
  <si>
    <t>PLATE 9.25 WELLINGTON 2 DOZEN</t>
  </si>
  <si>
    <t>Product Line</t>
  </si>
  <si>
    <t>DOT#</t>
  </si>
  <si>
    <t>Mfg#</t>
  </si>
  <si>
    <t>$2,500+</t>
  </si>
  <si>
    <t>Ship Wght</t>
  </si>
  <si>
    <t>Case Qty</t>
  </si>
  <si>
    <t>Each</t>
  </si>
  <si>
    <t xml:space="preserve">Case  </t>
  </si>
  <si>
    <t>UOM</t>
  </si>
  <si>
    <t xml:space="preserve">Each  </t>
  </si>
  <si>
    <t xml:space="preserve">Each </t>
  </si>
  <si>
    <t>Price</t>
  </si>
  <si>
    <t xml:space="preserve">BSR / DOT "Sell Pricing" Download </t>
  </si>
  <si>
    <t>Search Funtion:   "crtl f"</t>
  </si>
  <si>
    <t>Case Quantity Pricing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</si>
</sst>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8" fontId="0" fillId="0" borderId="0" xfId="0" applyNumberFormat="1"/>
    <xf numFmtId="0" fontId="16" fillId="0" borderId="0" xfId="0" applyFont="1"/>
    <xf numFmtId="14" fontId="0" fillId="0" borderId="0" xfId="0" applyNumberFormat="1" applyAlignment="1">
      <alignment horizontal="center"/>
    </xf>
    <xf numFmtId="0" fontId="16" fillId="33" borderId="0" xfId="0" applyFont="1" applyFill="1"/>
    <xf numFmtId="0" fontId="0" fillId="33" borderId="0" xfId="0" applyFill="1"/>
    <xf numFmtId="0" fontId="16" fillId="0" borderId="0" xfId="0" applyFont="1" applyAlignment="1">
      <alignment horizontal="center"/>
    </xf>
    <xf numFmtId="6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85"/>
  <sheetViews>
    <sheetView tabSelected="1" workbookViewId="0">
      <pane ySplit="4" topLeftCell="A5" activePane="bottomLeft" state="frozen"/>
      <selection activeCell="J1" sqref="J1"/>
      <selection pane="bottomLeft" activeCell="I294" sqref="I294"/>
    </sheetView>
  </sheetViews>
  <sheetFormatPr defaultRowHeight="15"/>
  <cols>
    <col min="1" max="1" width="25.140625" customWidth="1"/>
    <col min="2" max="2" width="7" bestFit="1" customWidth="1"/>
    <col min="3" max="3" width="16.7109375" style="2" bestFit="1" customWidth="1"/>
    <col min="4" max="4" width="65.5703125" customWidth="1"/>
    <col min="5" max="5" width="5.140625" customWidth="1"/>
    <col min="6" max="6" width="9.28515625" customWidth="1"/>
    <col min="7" max="7" width="9.7109375" customWidth="1"/>
    <col min="8" max="8" width="6" bestFit="1" customWidth="1"/>
    <col min="9" max="9" width="9.85546875" customWidth="1"/>
    <col min="10" max="10" width="10" customWidth="1"/>
  </cols>
  <sheetData>
    <row r="1" spans="1:12">
      <c r="A1" s="3">
        <v>41261</v>
      </c>
      <c r="D1" s="8" t="s">
        <v>7073</v>
      </c>
    </row>
    <row r="2" spans="1:12">
      <c r="C2" s="4" t="s">
        <v>7074</v>
      </c>
      <c r="D2" s="5"/>
    </row>
    <row r="3" spans="1:12" s="6" customFormat="1">
      <c r="F3" s="6" t="s">
        <v>7065</v>
      </c>
      <c r="G3" s="6" t="s">
        <v>7065</v>
      </c>
      <c r="H3" s="6" t="s">
        <v>7068</v>
      </c>
      <c r="I3" s="9" t="s">
        <v>7075</v>
      </c>
      <c r="K3" s="6" t="s">
        <v>7070</v>
      </c>
      <c r="L3" s="6" t="s">
        <v>7071</v>
      </c>
    </row>
    <row r="4" spans="1:12" s="6" customFormat="1">
      <c r="A4" s="6" t="s">
        <v>7061</v>
      </c>
      <c r="B4" s="6" t="s">
        <v>7062</v>
      </c>
      <c r="C4" s="6" t="s">
        <v>7063</v>
      </c>
      <c r="D4" s="6" t="s">
        <v>0</v>
      </c>
      <c r="E4" s="6" t="s">
        <v>1</v>
      </c>
      <c r="F4" s="6" t="s">
        <v>7066</v>
      </c>
      <c r="G4" s="6" t="s">
        <v>7067</v>
      </c>
      <c r="H4" s="6" t="s">
        <v>7069</v>
      </c>
      <c r="I4" s="7">
        <v>1000</v>
      </c>
      <c r="J4" s="6" t="s">
        <v>7064</v>
      </c>
      <c r="K4" s="6" t="s">
        <v>7069</v>
      </c>
      <c r="L4" s="6" t="s">
        <v>7072</v>
      </c>
    </row>
    <row r="5" spans="1:12">
      <c r="A5" t="s">
        <v>2</v>
      </c>
      <c r="B5">
        <v>378918</v>
      </c>
      <c r="C5" s="2" t="str">
        <f>"1004"</f>
        <v>1004</v>
      </c>
      <c r="D5" t="s">
        <v>3</v>
      </c>
      <c r="E5" t="s">
        <v>4</v>
      </c>
      <c r="F5">
        <v>0.24</v>
      </c>
      <c r="H5" t="s">
        <v>5</v>
      </c>
      <c r="I5" s="1">
        <v>82.38</v>
      </c>
      <c r="J5" s="1">
        <v>71.63</v>
      </c>
      <c r="K5" t="s">
        <v>6</v>
      </c>
    </row>
    <row r="6" spans="1:12">
      <c r="A6" t="s">
        <v>2</v>
      </c>
      <c r="B6">
        <v>447057</v>
      </c>
      <c r="C6" s="2" t="str">
        <f>"105"</f>
        <v>105</v>
      </c>
      <c r="D6" t="s">
        <v>7</v>
      </c>
      <c r="E6" t="s">
        <v>4</v>
      </c>
      <c r="F6">
        <v>1.6</v>
      </c>
      <c r="H6" t="s">
        <v>5</v>
      </c>
      <c r="I6" s="1">
        <v>16.48</v>
      </c>
      <c r="J6" s="1">
        <v>14.33</v>
      </c>
      <c r="K6" t="s">
        <v>6</v>
      </c>
    </row>
    <row r="7" spans="1:12">
      <c r="A7" t="s">
        <v>2</v>
      </c>
      <c r="B7">
        <v>401568</v>
      </c>
      <c r="C7" s="2" t="str">
        <f>"14002"</f>
        <v>14002</v>
      </c>
      <c r="D7" t="s">
        <v>8</v>
      </c>
      <c r="E7" t="s">
        <v>4</v>
      </c>
      <c r="F7">
        <v>20.9</v>
      </c>
      <c r="H7" t="s">
        <v>5</v>
      </c>
      <c r="I7" s="1">
        <v>143.61000000000001</v>
      </c>
      <c r="J7" s="1">
        <v>124.88</v>
      </c>
      <c r="K7" t="s">
        <v>6</v>
      </c>
    </row>
    <row r="8" spans="1:12">
      <c r="A8" t="s">
        <v>2</v>
      </c>
      <c r="B8">
        <v>367764</v>
      </c>
      <c r="C8" s="2" t="str">
        <f>"2000"</f>
        <v>2000</v>
      </c>
      <c r="D8" t="s">
        <v>9</v>
      </c>
      <c r="E8" t="s">
        <v>4</v>
      </c>
      <c r="F8">
        <v>0.7</v>
      </c>
      <c r="H8" t="s">
        <v>5</v>
      </c>
      <c r="I8" s="1">
        <v>15.5</v>
      </c>
      <c r="J8" s="1">
        <v>13.48</v>
      </c>
      <c r="K8" t="s">
        <v>6</v>
      </c>
    </row>
    <row r="9" spans="1:12">
      <c r="A9" t="s">
        <v>2</v>
      </c>
      <c r="B9">
        <v>396909</v>
      </c>
      <c r="C9" s="2" t="str">
        <f>"2000BP"</f>
        <v>2000BP</v>
      </c>
      <c r="D9" t="s">
        <v>10</v>
      </c>
      <c r="E9" t="s">
        <v>4</v>
      </c>
      <c r="F9">
        <v>2.4</v>
      </c>
      <c r="H9" t="s">
        <v>5</v>
      </c>
      <c r="I9" s="1">
        <v>46.45</v>
      </c>
      <c r="J9" s="1">
        <v>40.380000000000003</v>
      </c>
      <c r="K9" t="s">
        <v>6</v>
      </c>
    </row>
    <row r="10" spans="1:12">
      <c r="A10" t="s">
        <v>2</v>
      </c>
      <c r="B10">
        <v>367776</v>
      </c>
      <c r="C10" s="2" t="str">
        <f>"200CC"</f>
        <v>200CC</v>
      </c>
      <c r="D10" t="s">
        <v>11</v>
      </c>
      <c r="E10" t="s">
        <v>4</v>
      </c>
      <c r="F10">
        <v>3.6</v>
      </c>
      <c r="H10" t="s">
        <v>5</v>
      </c>
      <c r="I10" s="1">
        <v>80.8</v>
      </c>
      <c r="J10" s="1">
        <v>70.25</v>
      </c>
      <c r="K10" t="s">
        <v>6</v>
      </c>
    </row>
    <row r="11" spans="1:12">
      <c r="A11" t="s">
        <v>2</v>
      </c>
      <c r="B11">
        <v>378912</v>
      </c>
      <c r="C11" s="2" t="str">
        <f>"200N"</f>
        <v>200N</v>
      </c>
      <c r="D11" t="s">
        <v>12</v>
      </c>
      <c r="E11" t="s">
        <v>4</v>
      </c>
      <c r="F11">
        <v>3.35</v>
      </c>
      <c r="H11" t="s">
        <v>5</v>
      </c>
      <c r="I11" s="1">
        <v>55.02</v>
      </c>
      <c r="J11" s="1">
        <v>47.84</v>
      </c>
      <c r="K11" t="s">
        <v>6</v>
      </c>
    </row>
    <row r="12" spans="1:12">
      <c r="A12" t="s">
        <v>2</v>
      </c>
      <c r="B12">
        <v>461320</v>
      </c>
      <c r="C12" s="2" t="str">
        <f>"2020"</f>
        <v>2020</v>
      </c>
      <c r="D12" t="s">
        <v>13</v>
      </c>
      <c r="E12" t="s">
        <v>4</v>
      </c>
      <c r="F12">
        <v>1.0900000000000001</v>
      </c>
      <c r="H12" t="s">
        <v>5</v>
      </c>
      <c r="I12" s="1">
        <v>19.100000000000001</v>
      </c>
      <c r="J12" s="1">
        <v>16.600000000000001</v>
      </c>
      <c r="K12" t="s">
        <v>6</v>
      </c>
    </row>
    <row r="13" spans="1:12">
      <c r="A13" t="s">
        <v>2</v>
      </c>
      <c r="B13">
        <v>367782</v>
      </c>
      <c r="C13" s="2" t="str">
        <f>"3000"</f>
        <v>3000</v>
      </c>
      <c r="D13" t="s">
        <v>14</v>
      </c>
      <c r="E13" t="s">
        <v>4</v>
      </c>
      <c r="F13">
        <v>1.86</v>
      </c>
      <c r="H13" t="s">
        <v>5</v>
      </c>
      <c r="I13" s="1">
        <v>40.86</v>
      </c>
      <c r="J13" s="1">
        <v>35.53</v>
      </c>
      <c r="K13" t="s">
        <v>6</v>
      </c>
    </row>
    <row r="14" spans="1:12">
      <c r="A14" t="s">
        <v>2</v>
      </c>
      <c r="B14">
        <v>421563</v>
      </c>
      <c r="C14" s="2" t="str">
        <f>"3690"</f>
        <v>3690</v>
      </c>
      <c r="D14" t="s">
        <v>15</v>
      </c>
      <c r="E14" t="s">
        <v>4</v>
      </c>
      <c r="F14">
        <v>11.25</v>
      </c>
      <c r="H14" t="s">
        <v>5</v>
      </c>
      <c r="I14" s="1">
        <v>63.71</v>
      </c>
      <c r="J14" s="1">
        <v>63.71</v>
      </c>
      <c r="K14" t="s">
        <v>6</v>
      </c>
    </row>
    <row r="15" spans="1:12">
      <c r="A15" t="s">
        <v>2</v>
      </c>
      <c r="B15">
        <v>441709</v>
      </c>
      <c r="C15" s="2" t="str">
        <f>"4004CC"</f>
        <v>4004CC</v>
      </c>
      <c r="D15" t="s">
        <v>16</v>
      </c>
      <c r="E15" t="s">
        <v>4</v>
      </c>
      <c r="F15">
        <v>0.63</v>
      </c>
      <c r="H15" t="s">
        <v>5</v>
      </c>
      <c r="I15" s="1">
        <v>19.03</v>
      </c>
      <c r="J15" s="1">
        <v>16.55</v>
      </c>
      <c r="K15" t="s">
        <v>6</v>
      </c>
    </row>
    <row r="16" spans="1:12">
      <c r="A16" t="s">
        <v>2</v>
      </c>
      <c r="B16">
        <v>393216</v>
      </c>
      <c r="C16" s="2" t="str">
        <f>"405R"</f>
        <v>405R</v>
      </c>
      <c r="D16" t="s">
        <v>17</v>
      </c>
      <c r="E16" t="s">
        <v>4</v>
      </c>
      <c r="F16">
        <v>0.64</v>
      </c>
      <c r="H16" t="s">
        <v>5</v>
      </c>
      <c r="I16" s="1">
        <v>14.42</v>
      </c>
      <c r="J16" s="1">
        <v>12.55</v>
      </c>
      <c r="K16" t="s">
        <v>6</v>
      </c>
    </row>
    <row r="17" spans="1:12">
      <c r="A17" t="s">
        <v>2</v>
      </c>
      <c r="B17">
        <v>378964</v>
      </c>
      <c r="C17" s="2" t="str">
        <f>"410"</f>
        <v>410</v>
      </c>
      <c r="D17" t="s">
        <v>18</v>
      </c>
      <c r="E17" t="s">
        <v>4</v>
      </c>
      <c r="F17">
        <v>1.1000000000000001</v>
      </c>
      <c r="H17" t="s">
        <v>5</v>
      </c>
      <c r="I17" s="1">
        <v>16.47</v>
      </c>
      <c r="J17" s="1">
        <v>14.33</v>
      </c>
      <c r="K17" t="s">
        <v>6</v>
      </c>
    </row>
    <row r="18" spans="1:12">
      <c r="A18" t="s">
        <v>2</v>
      </c>
      <c r="B18">
        <v>464559</v>
      </c>
      <c r="C18" s="2" t="str">
        <f>"411"</f>
        <v>411</v>
      </c>
      <c r="D18" t="s">
        <v>19</v>
      </c>
      <c r="E18" t="s">
        <v>4</v>
      </c>
      <c r="F18">
        <v>0.24</v>
      </c>
      <c r="G18">
        <v>0.04</v>
      </c>
      <c r="H18" t="s">
        <v>20</v>
      </c>
      <c r="I18" s="1">
        <v>2.25</v>
      </c>
      <c r="J18" s="1">
        <v>1.95</v>
      </c>
      <c r="K18" t="s">
        <v>21</v>
      </c>
      <c r="L18" s="1">
        <v>2.15</v>
      </c>
    </row>
    <row r="19" spans="1:12">
      <c r="A19" t="s">
        <v>2</v>
      </c>
      <c r="B19">
        <v>369637</v>
      </c>
      <c r="C19" s="2" t="str">
        <f>"4500"</f>
        <v>4500</v>
      </c>
      <c r="D19" t="s">
        <v>22</v>
      </c>
      <c r="E19" t="s">
        <v>4</v>
      </c>
      <c r="F19">
        <v>3.58</v>
      </c>
      <c r="H19" t="s">
        <v>5</v>
      </c>
      <c r="I19" s="1">
        <v>167.08</v>
      </c>
      <c r="J19" s="1">
        <v>145.28</v>
      </c>
      <c r="K19" t="s">
        <v>6</v>
      </c>
    </row>
    <row r="20" spans="1:12">
      <c r="A20" t="s">
        <v>2</v>
      </c>
      <c r="B20">
        <v>367766</v>
      </c>
      <c r="C20" s="2" t="str">
        <f>"46"</f>
        <v>46</v>
      </c>
      <c r="D20" t="s">
        <v>23</v>
      </c>
      <c r="E20" t="s">
        <v>4</v>
      </c>
      <c r="F20">
        <v>3</v>
      </c>
      <c r="H20" t="s">
        <v>5</v>
      </c>
      <c r="I20" s="1">
        <v>59.49</v>
      </c>
      <c r="J20" s="1">
        <v>51.74</v>
      </c>
      <c r="K20" t="s">
        <v>6</v>
      </c>
    </row>
    <row r="21" spans="1:12">
      <c r="A21" t="s">
        <v>2</v>
      </c>
      <c r="B21">
        <v>369645</v>
      </c>
      <c r="C21" s="2" t="str">
        <f>"461"</f>
        <v>461</v>
      </c>
      <c r="D21" t="s">
        <v>24</v>
      </c>
      <c r="E21" t="s">
        <v>4</v>
      </c>
      <c r="F21">
        <v>6.98</v>
      </c>
      <c r="H21" t="s">
        <v>5</v>
      </c>
      <c r="I21" s="1">
        <v>142.25</v>
      </c>
      <c r="J21" s="1">
        <v>123.7</v>
      </c>
      <c r="K21" t="s">
        <v>6</v>
      </c>
    </row>
    <row r="22" spans="1:12">
      <c r="A22" t="s">
        <v>2</v>
      </c>
      <c r="B22">
        <v>378911</v>
      </c>
      <c r="C22" s="2" t="str">
        <f>"46N"</f>
        <v>46N</v>
      </c>
      <c r="D22" t="s">
        <v>25</v>
      </c>
      <c r="E22" t="s">
        <v>4</v>
      </c>
      <c r="F22">
        <v>0.68</v>
      </c>
      <c r="H22" t="s">
        <v>5</v>
      </c>
      <c r="I22" s="1">
        <v>9.14</v>
      </c>
      <c r="J22" s="1">
        <v>7.94</v>
      </c>
      <c r="K22" t="s">
        <v>6</v>
      </c>
    </row>
    <row r="23" spans="1:12">
      <c r="A23" t="s">
        <v>2</v>
      </c>
      <c r="B23">
        <v>378920</v>
      </c>
      <c r="C23" s="2" t="str">
        <f>"6000"</f>
        <v>6000</v>
      </c>
      <c r="D23" t="s">
        <v>26</v>
      </c>
      <c r="E23" t="s">
        <v>4</v>
      </c>
      <c r="F23">
        <v>5.7</v>
      </c>
      <c r="H23" t="s">
        <v>5</v>
      </c>
      <c r="I23" s="1">
        <v>236.98</v>
      </c>
      <c r="J23" s="1">
        <v>206.06</v>
      </c>
      <c r="K23" t="s">
        <v>6</v>
      </c>
    </row>
    <row r="24" spans="1:12">
      <c r="A24" t="s">
        <v>2</v>
      </c>
      <c r="B24">
        <v>367786</v>
      </c>
      <c r="C24" s="2" t="str">
        <f>"63"</f>
        <v>63</v>
      </c>
      <c r="D24" t="s">
        <v>27</v>
      </c>
      <c r="E24" t="s">
        <v>4</v>
      </c>
      <c r="F24">
        <v>2.2799999999999998</v>
      </c>
      <c r="H24" t="s">
        <v>5</v>
      </c>
      <c r="I24" s="1">
        <v>45.12</v>
      </c>
      <c r="J24" s="1">
        <v>39.25</v>
      </c>
      <c r="K24" t="s">
        <v>6</v>
      </c>
    </row>
    <row r="25" spans="1:12">
      <c r="A25" t="s">
        <v>2</v>
      </c>
      <c r="B25">
        <v>397035</v>
      </c>
      <c r="C25" s="2" t="str">
        <f>"700-40"</f>
        <v>700-40</v>
      </c>
      <c r="D25" t="s">
        <v>28</v>
      </c>
      <c r="E25" t="s">
        <v>4</v>
      </c>
      <c r="F25">
        <v>11.9</v>
      </c>
      <c r="H25" t="s">
        <v>5</v>
      </c>
      <c r="I25" s="1">
        <v>49.44</v>
      </c>
      <c r="J25" s="1">
        <v>42.98</v>
      </c>
      <c r="K25" t="s">
        <v>6</v>
      </c>
    </row>
    <row r="26" spans="1:12">
      <c r="A26" t="s">
        <v>2</v>
      </c>
      <c r="B26">
        <v>378962</v>
      </c>
      <c r="C26" s="2" t="str">
        <f>"701"</f>
        <v>701</v>
      </c>
      <c r="D26" t="s">
        <v>29</v>
      </c>
      <c r="E26" t="s">
        <v>4</v>
      </c>
      <c r="F26">
        <v>12</v>
      </c>
      <c r="H26" t="s">
        <v>5</v>
      </c>
      <c r="I26" s="1">
        <v>49.24</v>
      </c>
      <c r="J26" s="1">
        <v>42.82</v>
      </c>
      <c r="K26" t="s">
        <v>6</v>
      </c>
    </row>
    <row r="27" spans="1:12">
      <c r="A27" t="s">
        <v>2</v>
      </c>
      <c r="B27">
        <v>391135</v>
      </c>
      <c r="C27" s="2" t="str">
        <f>"702"</f>
        <v>702</v>
      </c>
      <c r="D27" t="s">
        <v>30</v>
      </c>
      <c r="E27" t="s">
        <v>4</v>
      </c>
      <c r="F27">
        <v>6</v>
      </c>
      <c r="H27" t="s">
        <v>5</v>
      </c>
      <c r="I27" s="1">
        <v>66.31</v>
      </c>
      <c r="J27" s="1">
        <v>57.67</v>
      </c>
      <c r="K27" t="s">
        <v>6</v>
      </c>
    </row>
    <row r="28" spans="1:12">
      <c r="A28" t="s">
        <v>2</v>
      </c>
      <c r="B28">
        <v>378916</v>
      </c>
      <c r="C28" s="2" t="str">
        <f>"710"</f>
        <v>710</v>
      </c>
      <c r="D28" t="s">
        <v>31</v>
      </c>
      <c r="E28" t="s">
        <v>4</v>
      </c>
      <c r="F28">
        <v>5.5</v>
      </c>
      <c r="H28" t="s">
        <v>5</v>
      </c>
      <c r="I28" s="1">
        <v>84.81</v>
      </c>
      <c r="J28" s="1">
        <v>73.739999999999995</v>
      </c>
      <c r="K28" t="s">
        <v>6</v>
      </c>
    </row>
    <row r="29" spans="1:12">
      <c r="A29" t="s">
        <v>2</v>
      </c>
      <c r="B29">
        <v>386110</v>
      </c>
      <c r="C29" s="2" t="str">
        <f>"720"</f>
        <v>720</v>
      </c>
      <c r="D29" t="s">
        <v>32</v>
      </c>
      <c r="E29" t="s">
        <v>4</v>
      </c>
      <c r="F29">
        <v>1.36</v>
      </c>
      <c r="H29" t="s">
        <v>5</v>
      </c>
      <c r="I29" s="1">
        <v>28.44</v>
      </c>
      <c r="J29" s="1">
        <v>28.44</v>
      </c>
      <c r="K29" t="s">
        <v>6</v>
      </c>
    </row>
    <row r="30" spans="1:12">
      <c r="A30" t="s">
        <v>2</v>
      </c>
      <c r="B30">
        <v>367769</v>
      </c>
      <c r="C30" s="2" t="str">
        <f>"74"</f>
        <v>74</v>
      </c>
      <c r="D30" t="s">
        <v>33</v>
      </c>
      <c r="E30" t="s">
        <v>4</v>
      </c>
      <c r="F30">
        <v>2.2599999999999998</v>
      </c>
      <c r="H30" t="s">
        <v>5</v>
      </c>
      <c r="I30" s="1">
        <v>45.12</v>
      </c>
      <c r="J30" s="1">
        <v>39.25</v>
      </c>
      <c r="K30" t="s">
        <v>6</v>
      </c>
    </row>
    <row r="31" spans="1:12">
      <c r="A31" t="s">
        <v>2</v>
      </c>
      <c r="B31">
        <v>555606</v>
      </c>
      <c r="C31" s="2" t="str">
        <f>"746"</f>
        <v>746</v>
      </c>
      <c r="D31" t="s">
        <v>34</v>
      </c>
      <c r="E31" t="s">
        <v>4</v>
      </c>
      <c r="F31">
        <v>2.83</v>
      </c>
      <c r="H31" t="s">
        <v>5</v>
      </c>
      <c r="I31" s="1">
        <v>16.37</v>
      </c>
      <c r="J31" s="1">
        <v>14.22</v>
      </c>
      <c r="K31" t="s">
        <v>6</v>
      </c>
    </row>
    <row r="32" spans="1:12">
      <c r="A32" t="s">
        <v>2</v>
      </c>
      <c r="B32">
        <v>378910</v>
      </c>
      <c r="C32" s="2" t="str">
        <f>"74N"</f>
        <v>74N</v>
      </c>
      <c r="D32" t="s">
        <v>35</v>
      </c>
      <c r="E32" t="s">
        <v>4</v>
      </c>
      <c r="F32">
        <v>2.2999999999999998</v>
      </c>
      <c r="H32" t="s">
        <v>5</v>
      </c>
      <c r="I32" s="1">
        <v>23.63</v>
      </c>
      <c r="J32" s="1">
        <v>20.57</v>
      </c>
      <c r="K32" t="s">
        <v>6</v>
      </c>
    </row>
    <row r="33" spans="1:11">
      <c r="A33" t="s">
        <v>2</v>
      </c>
      <c r="B33">
        <v>367759</v>
      </c>
      <c r="C33" s="2" t="str">
        <f>"82"</f>
        <v>82</v>
      </c>
      <c r="D33" t="s">
        <v>36</v>
      </c>
      <c r="E33" t="s">
        <v>4</v>
      </c>
      <c r="F33">
        <v>2.84</v>
      </c>
      <c r="H33" t="s">
        <v>5</v>
      </c>
      <c r="I33" s="1">
        <v>65.959999999999994</v>
      </c>
      <c r="J33" s="1">
        <v>57.37</v>
      </c>
      <c r="K33" t="s">
        <v>6</v>
      </c>
    </row>
    <row r="34" spans="1:11">
      <c r="A34" t="s">
        <v>2</v>
      </c>
      <c r="B34">
        <v>378913</v>
      </c>
      <c r="C34" s="2" t="str">
        <f>"83"</f>
        <v>83</v>
      </c>
      <c r="D34" t="s">
        <v>37</v>
      </c>
      <c r="E34" t="s">
        <v>4</v>
      </c>
      <c r="F34">
        <v>8.35</v>
      </c>
      <c r="H34" t="s">
        <v>5</v>
      </c>
      <c r="I34" s="1">
        <v>74.48</v>
      </c>
      <c r="J34" s="1">
        <v>64.77</v>
      </c>
      <c r="K34" t="s">
        <v>6</v>
      </c>
    </row>
    <row r="35" spans="1:11">
      <c r="A35" t="s">
        <v>2</v>
      </c>
      <c r="B35">
        <v>367789</v>
      </c>
      <c r="C35" s="2" t="str">
        <f>"84"</f>
        <v>84</v>
      </c>
      <c r="D35" t="s">
        <v>38</v>
      </c>
      <c r="E35" t="s">
        <v>4</v>
      </c>
      <c r="F35">
        <v>1.75</v>
      </c>
      <c r="H35" t="s">
        <v>5</v>
      </c>
      <c r="I35" s="1">
        <v>25.4</v>
      </c>
      <c r="J35" s="1">
        <v>22.09</v>
      </c>
      <c r="K35" t="s">
        <v>6</v>
      </c>
    </row>
    <row r="36" spans="1:11">
      <c r="A36" t="s">
        <v>2</v>
      </c>
      <c r="B36">
        <v>443055</v>
      </c>
      <c r="C36" s="2" t="str">
        <f>"84CC"</f>
        <v>84CC</v>
      </c>
      <c r="D36" t="s">
        <v>39</v>
      </c>
      <c r="E36" t="s">
        <v>4</v>
      </c>
      <c r="F36">
        <v>8.7799999999999994</v>
      </c>
      <c r="H36" t="s">
        <v>5</v>
      </c>
      <c r="I36" s="1">
        <v>76.66</v>
      </c>
      <c r="J36" s="1">
        <v>66.66</v>
      </c>
      <c r="K36" t="s">
        <v>6</v>
      </c>
    </row>
    <row r="37" spans="1:11">
      <c r="A37" t="s">
        <v>2</v>
      </c>
      <c r="B37">
        <v>369632</v>
      </c>
      <c r="C37" s="2" t="str">
        <f>"8541"</f>
        <v>8541</v>
      </c>
      <c r="D37" t="s">
        <v>40</v>
      </c>
      <c r="E37" t="s">
        <v>4</v>
      </c>
      <c r="F37">
        <v>3</v>
      </c>
      <c r="H37" t="s">
        <v>5</v>
      </c>
      <c r="I37" s="1">
        <v>42.43</v>
      </c>
      <c r="J37" s="1">
        <v>36.89</v>
      </c>
      <c r="K37" t="s">
        <v>6</v>
      </c>
    </row>
    <row r="38" spans="1:11">
      <c r="A38" t="s">
        <v>2</v>
      </c>
      <c r="B38">
        <v>367753</v>
      </c>
      <c r="C38" s="2" t="str">
        <f>"86"</f>
        <v>86</v>
      </c>
      <c r="D38" t="s">
        <v>41</v>
      </c>
      <c r="E38" t="s">
        <v>4</v>
      </c>
      <c r="F38">
        <v>2.65</v>
      </c>
      <c r="H38" t="s">
        <v>5</v>
      </c>
      <c r="I38" s="1">
        <v>61.49</v>
      </c>
      <c r="J38" s="1">
        <v>53.48</v>
      </c>
      <c r="K38" t="s">
        <v>6</v>
      </c>
    </row>
    <row r="39" spans="1:11">
      <c r="A39" t="s">
        <v>2</v>
      </c>
      <c r="B39">
        <v>378909</v>
      </c>
      <c r="C39" s="2" t="str">
        <f>"86N"</f>
        <v>86N</v>
      </c>
      <c r="D39" t="s">
        <v>42</v>
      </c>
      <c r="E39" t="s">
        <v>4</v>
      </c>
      <c r="F39">
        <v>1</v>
      </c>
      <c r="H39" t="s">
        <v>5</v>
      </c>
      <c r="I39" s="1">
        <v>11.57</v>
      </c>
      <c r="J39" s="1">
        <v>10.06</v>
      </c>
      <c r="K39" t="s">
        <v>6</v>
      </c>
    </row>
    <row r="40" spans="1:11">
      <c r="A40" t="s">
        <v>2</v>
      </c>
      <c r="B40">
        <v>390020</v>
      </c>
      <c r="C40" s="2" t="str">
        <f>"87"</f>
        <v>87</v>
      </c>
      <c r="D40" t="s">
        <v>43</v>
      </c>
      <c r="E40" t="s">
        <v>4</v>
      </c>
      <c r="F40">
        <v>2.5</v>
      </c>
      <c r="H40" t="s">
        <v>5</v>
      </c>
      <c r="I40" s="1">
        <v>42.02</v>
      </c>
      <c r="J40" s="1">
        <v>36.54</v>
      </c>
      <c r="K40" t="s">
        <v>6</v>
      </c>
    </row>
    <row r="41" spans="1:11">
      <c r="A41" t="s">
        <v>2</v>
      </c>
      <c r="B41">
        <v>367752</v>
      </c>
      <c r="C41" s="2" t="str">
        <f>"88"</f>
        <v>88</v>
      </c>
      <c r="D41" t="s">
        <v>44</v>
      </c>
      <c r="E41" t="s">
        <v>4</v>
      </c>
      <c r="F41">
        <v>2.58</v>
      </c>
      <c r="H41" t="s">
        <v>5</v>
      </c>
      <c r="I41" s="1">
        <v>41.86</v>
      </c>
      <c r="J41" s="1">
        <v>36.4</v>
      </c>
      <c r="K41" t="s">
        <v>6</v>
      </c>
    </row>
    <row r="42" spans="1:11">
      <c r="A42" t="s">
        <v>2</v>
      </c>
      <c r="B42">
        <v>401798</v>
      </c>
      <c r="C42" s="2" t="str">
        <f>"88N"</f>
        <v>88N</v>
      </c>
      <c r="D42" t="s">
        <v>45</v>
      </c>
      <c r="E42" t="s">
        <v>4</v>
      </c>
      <c r="F42">
        <v>2</v>
      </c>
      <c r="H42" t="s">
        <v>5</v>
      </c>
      <c r="I42" s="1">
        <v>11.75</v>
      </c>
      <c r="J42" s="1">
        <v>10.220000000000001</v>
      </c>
      <c r="K42" t="s">
        <v>6</v>
      </c>
    </row>
    <row r="43" spans="1:11">
      <c r="A43" t="s">
        <v>2</v>
      </c>
      <c r="B43">
        <v>367784</v>
      </c>
      <c r="C43" s="2" t="str">
        <f>"9030"</f>
        <v>9030</v>
      </c>
      <c r="D43" t="s">
        <v>46</v>
      </c>
      <c r="E43" t="s">
        <v>4</v>
      </c>
      <c r="F43">
        <v>1.67</v>
      </c>
      <c r="H43" t="s">
        <v>5</v>
      </c>
      <c r="I43" s="1">
        <v>37.26</v>
      </c>
      <c r="J43" s="1">
        <v>32.380000000000003</v>
      </c>
      <c r="K43" t="s">
        <v>6</v>
      </c>
    </row>
    <row r="44" spans="1:11">
      <c r="A44" t="s">
        <v>2</v>
      </c>
      <c r="B44">
        <v>428099</v>
      </c>
      <c r="C44" s="2" t="str">
        <f>"9050N"</f>
        <v>9050N</v>
      </c>
      <c r="D44" t="s">
        <v>47</v>
      </c>
      <c r="E44" t="s">
        <v>4</v>
      </c>
      <c r="F44">
        <v>2.9</v>
      </c>
      <c r="H44" t="s">
        <v>5</v>
      </c>
      <c r="I44" s="1">
        <v>21.67</v>
      </c>
      <c r="J44" s="1">
        <v>18.850000000000001</v>
      </c>
      <c r="K44" t="s">
        <v>6</v>
      </c>
    </row>
    <row r="45" spans="1:11">
      <c r="A45" t="s">
        <v>2</v>
      </c>
      <c r="B45">
        <v>396696</v>
      </c>
      <c r="C45" s="2" t="str">
        <f>"94"</f>
        <v>94</v>
      </c>
      <c r="D45" t="s">
        <v>48</v>
      </c>
      <c r="E45" t="s">
        <v>4</v>
      </c>
      <c r="F45">
        <v>2.6</v>
      </c>
      <c r="H45" t="s">
        <v>5</v>
      </c>
      <c r="I45" s="1">
        <v>70.930000000000007</v>
      </c>
      <c r="J45" s="1">
        <v>61.67</v>
      </c>
      <c r="K45" t="s">
        <v>6</v>
      </c>
    </row>
    <row r="46" spans="1:11">
      <c r="A46" t="s">
        <v>2</v>
      </c>
      <c r="B46">
        <v>434235</v>
      </c>
      <c r="C46" s="2" t="str">
        <f>"9488R"</f>
        <v>9488R</v>
      </c>
      <c r="D46" t="s">
        <v>49</v>
      </c>
      <c r="E46" t="s">
        <v>4</v>
      </c>
      <c r="F46">
        <v>1.4</v>
      </c>
      <c r="H46" t="s">
        <v>5</v>
      </c>
      <c r="I46" s="1">
        <v>29.35</v>
      </c>
      <c r="J46" s="1">
        <v>25.55</v>
      </c>
      <c r="K46" t="s">
        <v>6</v>
      </c>
    </row>
    <row r="47" spans="1:11">
      <c r="A47" t="s">
        <v>2</v>
      </c>
      <c r="B47">
        <v>369626</v>
      </c>
      <c r="C47" s="2" t="str">
        <f>"9489"</f>
        <v>9489</v>
      </c>
      <c r="D47" t="s">
        <v>50</v>
      </c>
      <c r="E47" t="s">
        <v>4</v>
      </c>
      <c r="F47">
        <v>4.28</v>
      </c>
      <c r="H47" t="s">
        <v>5</v>
      </c>
      <c r="I47" s="1">
        <v>68.77</v>
      </c>
      <c r="J47" s="1">
        <v>59.8</v>
      </c>
      <c r="K47" t="s">
        <v>6</v>
      </c>
    </row>
    <row r="48" spans="1:11">
      <c r="A48" t="s">
        <v>2</v>
      </c>
      <c r="B48">
        <v>482277</v>
      </c>
      <c r="C48" s="2" t="str">
        <f>"9537CC"</f>
        <v>9537CC</v>
      </c>
      <c r="D48" t="s">
        <v>51</v>
      </c>
      <c r="E48" t="s">
        <v>4</v>
      </c>
      <c r="F48">
        <v>3.3</v>
      </c>
      <c r="H48" t="s">
        <v>5</v>
      </c>
      <c r="I48" s="1">
        <v>68.069999999999993</v>
      </c>
      <c r="J48" s="1">
        <v>59.19</v>
      </c>
      <c r="K48" t="s">
        <v>6</v>
      </c>
    </row>
    <row r="49" spans="1:11">
      <c r="A49" t="s">
        <v>2</v>
      </c>
      <c r="B49">
        <v>367750</v>
      </c>
      <c r="C49" s="2" t="str">
        <f>"96"</f>
        <v>96</v>
      </c>
      <c r="D49" t="s">
        <v>52</v>
      </c>
      <c r="E49" t="s">
        <v>4</v>
      </c>
      <c r="F49">
        <v>4.5</v>
      </c>
      <c r="H49" t="s">
        <v>5</v>
      </c>
      <c r="I49" s="1">
        <v>39.07</v>
      </c>
      <c r="J49" s="1">
        <v>33.96</v>
      </c>
      <c r="K49" t="s">
        <v>6</v>
      </c>
    </row>
    <row r="50" spans="1:11">
      <c r="A50" t="s">
        <v>2</v>
      </c>
      <c r="B50">
        <v>367758</v>
      </c>
      <c r="C50" s="2" t="str">
        <f>"9650"</f>
        <v>9650</v>
      </c>
      <c r="D50" t="s">
        <v>53</v>
      </c>
      <c r="E50" t="s">
        <v>4</v>
      </c>
      <c r="F50">
        <v>1.75</v>
      </c>
      <c r="H50" t="s">
        <v>5</v>
      </c>
      <c r="I50" s="1">
        <v>32.06</v>
      </c>
      <c r="J50" s="1">
        <v>27.87</v>
      </c>
      <c r="K50" t="s">
        <v>6</v>
      </c>
    </row>
    <row r="51" spans="1:11">
      <c r="A51" t="s">
        <v>2</v>
      </c>
      <c r="B51">
        <v>378908</v>
      </c>
      <c r="C51" s="2" t="str">
        <f>"96N"</f>
        <v>96N</v>
      </c>
      <c r="D51" t="s">
        <v>54</v>
      </c>
      <c r="E51" t="s">
        <v>4</v>
      </c>
      <c r="F51">
        <v>1.25</v>
      </c>
      <c r="H51" t="s">
        <v>5</v>
      </c>
      <c r="I51" s="1">
        <v>9.59</v>
      </c>
      <c r="J51" s="1">
        <v>8.35</v>
      </c>
      <c r="K51" t="s">
        <v>6</v>
      </c>
    </row>
    <row r="52" spans="1:11">
      <c r="A52" t="s">
        <v>2</v>
      </c>
      <c r="B52">
        <v>402194</v>
      </c>
      <c r="C52" s="2" t="str">
        <f>"96NCC"</f>
        <v>96NCC</v>
      </c>
      <c r="D52" t="s">
        <v>55</v>
      </c>
      <c r="E52" t="s">
        <v>4</v>
      </c>
      <c r="F52">
        <v>3.7</v>
      </c>
      <c r="H52" t="s">
        <v>5</v>
      </c>
      <c r="I52" s="1">
        <v>30.94</v>
      </c>
      <c r="J52" s="1">
        <v>26.91</v>
      </c>
      <c r="K52" t="s">
        <v>6</v>
      </c>
    </row>
    <row r="53" spans="1:11">
      <c r="A53" t="s">
        <v>2</v>
      </c>
      <c r="B53">
        <v>373169</v>
      </c>
      <c r="C53" s="2" t="str">
        <f>"98"</f>
        <v>98</v>
      </c>
      <c r="D53" t="s">
        <v>56</v>
      </c>
      <c r="E53" t="s">
        <v>4</v>
      </c>
      <c r="F53">
        <v>2.94</v>
      </c>
      <c r="H53" t="s">
        <v>5</v>
      </c>
      <c r="I53" s="1">
        <v>78.22</v>
      </c>
      <c r="J53" s="1">
        <v>68.02</v>
      </c>
      <c r="K53" t="s">
        <v>6</v>
      </c>
    </row>
    <row r="54" spans="1:11">
      <c r="A54" t="s">
        <v>2</v>
      </c>
      <c r="B54">
        <v>378915</v>
      </c>
      <c r="C54" s="2" t="str">
        <f>"A21"</f>
        <v>A21</v>
      </c>
      <c r="D54" t="s">
        <v>57</v>
      </c>
      <c r="E54" t="s">
        <v>4</v>
      </c>
      <c r="F54">
        <v>4.8499999999999996</v>
      </c>
      <c r="H54" t="s">
        <v>5</v>
      </c>
      <c r="I54" s="1">
        <v>43.82</v>
      </c>
      <c r="J54" s="1">
        <v>38.119999999999997</v>
      </c>
      <c r="K54" t="s">
        <v>6</v>
      </c>
    </row>
    <row r="55" spans="1:11">
      <c r="A55" t="s">
        <v>2</v>
      </c>
      <c r="B55">
        <v>367791</v>
      </c>
      <c r="C55" s="2" t="str">
        <f>"DL951"</f>
        <v>DL951</v>
      </c>
      <c r="D55" t="s">
        <v>58</v>
      </c>
      <c r="E55" t="s">
        <v>4</v>
      </c>
      <c r="F55">
        <v>3.2</v>
      </c>
      <c r="H55" t="s">
        <v>5</v>
      </c>
      <c r="I55" s="1">
        <v>44.07</v>
      </c>
      <c r="J55" s="1">
        <v>44.07</v>
      </c>
      <c r="K55" t="s">
        <v>6</v>
      </c>
    </row>
    <row r="56" spans="1:11">
      <c r="A56" t="s">
        <v>2</v>
      </c>
      <c r="B56">
        <v>414170</v>
      </c>
      <c r="C56" s="2" t="str">
        <f>"FSPT-2"</f>
        <v>FSPT-2</v>
      </c>
      <c r="D56" t="s">
        <v>59</v>
      </c>
      <c r="E56" t="s">
        <v>4</v>
      </c>
      <c r="F56">
        <v>3.7</v>
      </c>
      <c r="H56" t="s">
        <v>5</v>
      </c>
      <c r="I56" s="1">
        <v>52.56</v>
      </c>
      <c r="J56" s="1">
        <v>45.71</v>
      </c>
      <c r="K56" t="s">
        <v>6</v>
      </c>
    </row>
    <row r="57" spans="1:11">
      <c r="A57" t="s">
        <v>2</v>
      </c>
      <c r="B57">
        <v>378914</v>
      </c>
      <c r="C57" s="2" t="str">
        <f>"GB12"</f>
        <v>GB12</v>
      </c>
      <c r="D57" t="s">
        <v>60</v>
      </c>
      <c r="E57" t="s">
        <v>4</v>
      </c>
      <c r="F57">
        <v>6.69</v>
      </c>
      <c r="H57" t="s">
        <v>5</v>
      </c>
      <c r="I57" s="1">
        <v>30.07</v>
      </c>
      <c r="J57" s="1">
        <v>26.14</v>
      </c>
      <c r="K57" t="s">
        <v>6</v>
      </c>
    </row>
    <row r="58" spans="1:11">
      <c r="A58" t="s">
        <v>61</v>
      </c>
      <c r="B58">
        <v>458927</v>
      </c>
      <c r="C58" s="2" t="str">
        <f>"CP7GOEWH"</f>
        <v>CP7GOEWH</v>
      </c>
      <c r="D58" t="s">
        <v>62</v>
      </c>
      <c r="E58" t="s">
        <v>4</v>
      </c>
      <c r="F58">
        <v>11</v>
      </c>
      <c r="H58" t="s">
        <v>5</v>
      </c>
      <c r="I58" s="1">
        <v>38.54</v>
      </c>
      <c r="J58" s="1">
        <v>37.97</v>
      </c>
      <c r="K58" t="s">
        <v>6</v>
      </c>
    </row>
    <row r="59" spans="1:11">
      <c r="A59" t="s">
        <v>61</v>
      </c>
      <c r="B59">
        <v>500100</v>
      </c>
      <c r="C59" s="2" t="str">
        <f>"CP9AJCWWH14"</f>
        <v>CP9AJCWWH14</v>
      </c>
      <c r="D59" t="s">
        <v>63</v>
      </c>
      <c r="E59" t="s">
        <v>4</v>
      </c>
      <c r="F59">
        <v>14</v>
      </c>
      <c r="H59" t="s">
        <v>5</v>
      </c>
      <c r="I59" s="1">
        <v>38.19</v>
      </c>
      <c r="J59" s="1">
        <v>37.630000000000003</v>
      </c>
      <c r="K59" t="s">
        <v>6</v>
      </c>
    </row>
    <row r="60" spans="1:11">
      <c r="A60" t="s">
        <v>61</v>
      </c>
      <c r="B60">
        <v>458288</v>
      </c>
      <c r="C60" s="2" t="str">
        <f>"CP9GOAWH"</f>
        <v>CP9GOAWH</v>
      </c>
      <c r="D60" t="s">
        <v>64</v>
      </c>
      <c r="E60" t="s">
        <v>4</v>
      </c>
      <c r="F60">
        <v>28</v>
      </c>
      <c r="H60" t="s">
        <v>5</v>
      </c>
      <c r="I60" s="1">
        <v>45.6</v>
      </c>
      <c r="J60" s="1">
        <v>44.93</v>
      </c>
      <c r="K60" t="s">
        <v>6</v>
      </c>
    </row>
    <row r="61" spans="1:11">
      <c r="A61" t="s">
        <v>61</v>
      </c>
      <c r="B61">
        <v>458284</v>
      </c>
      <c r="C61" s="2" t="str">
        <f>"CP9GOEWH"</f>
        <v>CP9GOEWH</v>
      </c>
      <c r="D61" t="s">
        <v>65</v>
      </c>
      <c r="E61" t="s">
        <v>4</v>
      </c>
      <c r="F61">
        <v>21</v>
      </c>
      <c r="H61" t="s">
        <v>5</v>
      </c>
      <c r="I61" s="1">
        <v>37.979999999999997</v>
      </c>
      <c r="J61" s="1">
        <v>37.409999999999997</v>
      </c>
      <c r="K61" t="s">
        <v>6</v>
      </c>
    </row>
    <row r="62" spans="1:11">
      <c r="A62" t="s">
        <v>61</v>
      </c>
      <c r="B62">
        <v>479773</v>
      </c>
      <c r="C62" s="2" t="str">
        <f>"EH9AJDTWH"</f>
        <v>EH9AJDTWH</v>
      </c>
      <c r="D62" t="s">
        <v>66</v>
      </c>
      <c r="E62" t="s">
        <v>4</v>
      </c>
      <c r="F62">
        <v>16</v>
      </c>
      <c r="H62" t="s">
        <v>5</v>
      </c>
      <c r="I62" s="1">
        <v>38.94</v>
      </c>
      <c r="J62" s="1">
        <v>38.369999999999997</v>
      </c>
      <c r="K62" t="s">
        <v>6</v>
      </c>
    </row>
    <row r="63" spans="1:11">
      <c r="A63" t="s">
        <v>61</v>
      </c>
      <c r="B63">
        <v>459092</v>
      </c>
      <c r="C63" s="2" t="str">
        <f>"GB02NP5C"</f>
        <v>GB02NP5C</v>
      </c>
      <c r="D63" t="s">
        <v>67</v>
      </c>
      <c r="E63" t="s">
        <v>4</v>
      </c>
      <c r="F63">
        <v>5</v>
      </c>
      <c r="H63" t="s">
        <v>5</v>
      </c>
      <c r="I63" s="1">
        <v>7.87</v>
      </c>
      <c r="J63" s="1">
        <v>7.79</v>
      </c>
      <c r="K63" t="s">
        <v>6</v>
      </c>
    </row>
    <row r="64" spans="1:11">
      <c r="A64" t="s">
        <v>61</v>
      </c>
      <c r="B64">
        <v>459093</v>
      </c>
      <c r="C64" s="2" t="str">
        <f>"GB04NP5C"</f>
        <v>GB04NP5C</v>
      </c>
      <c r="D64" t="s">
        <v>68</v>
      </c>
      <c r="E64" t="s">
        <v>4</v>
      </c>
      <c r="F64">
        <v>8</v>
      </c>
      <c r="H64" t="s">
        <v>5</v>
      </c>
      <c r="I64" s="1">
        <v>10.7</v>
      </c>
      <c r="J64" s="1">
        <v>10.6</v>
      </c>
      <c r="K64" t="s">
        <v>6</v>
      </c>
    </row>
    <row r="65" spans="1:11">
      <c r="A65" t="s">
        <v>61</v>
      </c>
      <c r="B65">
        <v>459094</v>
      </c>
      <c r="C65" s="2" t="str">
        <f>"GB05NP5C"</f>
        <v>GB05NP5C</v>
      </c>
      <c r="D65" t="s">
        <v>69</v>
      </c>
      <c r="E65" t="s">
        <v>4</v>
      </c>
      <c r="F65">
        <v>9</v>
      </c>
      <c r="H65" t="s">
        <v>5</v>
      </c>
      <c r="I65" s="1">
        <v>13.01</v>
      </c>
      <c r="J65" s="1">
        <v>12.88</v>
      </c>
      <c r="K65" t="s">
        <v>6</v>
      </c>
    </row>
    <row r="66" spans="1:11">
      <c r="A66" t="s">
        <v>61</v>
      </c>
      <c r="B66">
        <v>459095</v>
      </c>
      <c r="C66" s="2" t="str">
        <f>"GB06NP5C"</f>
        <v>GB06NP5C</v>
      </c>
      <c r="D66" t="s">
        <v>70</v>
      </c>
      <c r="E66" t="s">
        <v>4</v>
      </c>
      <c r="F66">
        <v>11</v>
      </c>
      <c r="H66" t="s">
        <v>5</v>
      </c>
      <c r="I66" s="1">
        <v>13.15</v>
      </c>
      <c r="J66" s="1">
        <v>13.02</v>
      </c>
      <c r="K66" t="s">
        <v>6</v>
      </c>
    </row>
    <row r="67" spans="1:11">
      <c r="A67" t="s">
        <v>61</v>
      </c>
      <c r="B67">
        <v>459096</v>
      </c>
      <c r="C67" s="2" t="str">
        <f>"GB08NP5C"</f>
        <v>GB08NP5C</v>
      </c>
      <c r="D67" t="s">
        <v>71</v>
      </c>
      <c r="E67" t="s">
        <v>4</v>
      </c>
      <c r="F67">
        <v>13</v>
      </c>
      <c r="H67" t="s">
        <v>5</v>
      </c>
      <c r="I67" s="1">
        <v>15.08</v>
      </c>
      <c r="J67" s="1">
        <v>14.93</v>
      </c>
      <c r="K67" t="s">
        <v>6</v>
      </c>
    </row>
    <row r="68" spans="1:11">
      <c r="A68" t="s">
        <v>61</v>
      </c>
      <c r="B68">
        <v>459097</v>
      </c>
      <c r="C68" s="2" t="str">
        <f>"GB10NP5C"</f>
        <v>GB10NP5C</v>
      </c>
      <c r="D68" t="s">
        <v>72</v>
      </c>
      <c r="E68" t="s">
        <v>4</v>
      </c>
      <c r="F68">
        <v>15</v>
      </c>
      <c r="H68" t="s">
        <v>5</v>
      </c>
      <c r="I68" s="1">
        <v>16.63</v>
      </c>
      <c r="J68" s="1">
        <v>16.46</v>
      </c>
      <c r="K68" t="s">
        <v>6</v>
      </c>
    </row>
    <row r="69" spans="1:11">
      <c r="A69" t="s">
        <v>61</v>
      </c>
      <c r="B69">
        <v>459098</v>
      </c>
      <c r="C69" s="2" t="str">
        <f>"GB12NP5C"</f>
        <v>GB12NP5C</v>
      </c>
      <c r="D69" t="s">
        <v>73</v>
      </c>
      <c r="E69" t="s">
        <v>4</v>
      </c>
      <c r="F69">
        <v>18</v>
      </c>
      <c r="H69" t="s">
        <v>5</v>
      </c>
      <c r="I69" s="1">
        <v>21.27</v>
      </c>
      <c r="J69" s="1">
        <v>21.06</v>
      </c>
      <c r="K69" t="s">
        <v>6</v>
      </c>
    </row>
    <row r="70" spans="1:11">
      <c r="A70" t="s">
        <v>61</v>
      </c>
      <c r="B70">
        <v>459099</v>
      </c>
      <c r="C70" s="2" t="str">
        <f>"GB16NP5C"</f>
        <v>GB16NP5C</v>
      </c>
      <c r="D70" t="s">
        <v>74</v>
      </c>
      <c r="E70" t="s">
        <v>4</v>
      </c>
      <c r="F70">
        <v>26</v>
      </c>
      <c r="H70" t="s">
        <v>5</v>
      </c>
      <c r="I70" s="1">
        <v>26.64</v>
      </c>
      <c r="J70" s="1">
        <v>26.38</v>
      </c>
      <c r="K70" t="s">
        <v>6</v>
      </c>
    </row>
    <row r="71" spans="1:11">
      <c r="A71" t="s">
        <v>61</v>
      </c>
      <c r="B71">
        <v>459091</v>
      </c>
      <c r="C71" s="2" t="str">
        <f>"GS57NP5C"</f>
        <v>GS57NP5C</v>
      </c>
      <c r="D71" t="s">
        <v>75</v>
      </c>
      <c r="E71" t="s">
        <v>4</v>
      </c>
      <c r="F71">
        <v>54</v>
      </c>
      <c r="H71" t="s">
        <v>5</v>
      </c>
      <c r="I71" s="1">
        <v>51.4</v>
      </c>
      <c r="J71" s="1">
        <v>50.9</v>
      </c>
      <c r="K71" t="s">
        <v>6</v>
      </c>
    </row>
    <row r="72" spans="1:11">
      <c r="A72" t="s">
        <v>61</v>
      </c>
      <c r="B72">
        <v>460810</v>
      </c>
      <c r="C72" s="2" t="str">
        <f>"GS75NP4C"</f>
        <v>GS75NP4C</v>
      </c>
      <c r="D72" t="s">
        <v>76</v>
      </c>
      <c r="E72" t="s">
        <v>4</v>
      </c>
      <c r="F72">
        <v>56</v>
      </c>
      <c r="H72" t="s">
        <v>5</v>
      </c>
      <c r="I72" s="1">
        <v>52.81</v>
      </c>
      <c r="J72" s="1">
        <v>52.29</v>
      </c>
      <c r="K72" t="s">
        <v>6</v>
      </c>
    </row>
    <row r="73" spans="1:11">
      <c r="A73" t="s">
        <v>61</v>
      </c>
      <c r="B73">
        <v>459090</v>
      </c>
      <c r="C73" s="2" t="str">
        <f>"HS70NP3C"</f>
        <v>HS70NP3C</v>
      </c>
      <c r="D73" t="s">
        <v>77</v>
      </c>
      <c r="E73" t="s">
        <v>4</v>
      </c>
      <c r="F73">
        <v>45</v>
      </c>
      <c r="H73" t="s">
        <v>5</v>
      </c>
      <c r="I73" s="1">
        <v>48.59</v>
      </c>
      <c r="J73" s="1">
        <v>48.11</v>
      </c>
      <c r="K73" t="s">
        <v>6</v>
      </c>
    </row>
    <row r="74" spans="1:11">
      <c r="A74" t="s">
        <v>61</v>
      </c>
      <c r="B74">
        <v>463320</v>
      </c>
      <c r="C74" s="2" t="str">
        <f>"LB24LAJ"</f>
        <v>LB24LAJ</v>
      </c>
      <c r="D74" t="s">
        <v>78</v>
      </c>
      <c r="E74" t="s">
        <v>4</v>
      </c>
      <c r="F74">
        <v>20</v>
      </c>
      <c r="H74" t="s">
        <v>5</v>
      </c>
      <c r="I74" s="1">
        <v>25.41</v>
      </c>
      <c r="J74" s="1">
        <v>25.16</v>
      </c>
      <c r="K74" t="s">
        <v>6</v>
      </c>
    </row>
    <row r="75" spans="1:11">
      <c r="A75" t="s">
        <v>61</v>
      </c>
      <c r="B75">
        <v>460610</v>
      </c>
      <c r="C75" s="2" t="str">
        <f>"LP35NP5C"</f>
        <v>LP35NP5C</v>
      </c>
      <c r="D75" t="s">
        <v>79</v>
      </c>
      <c r="E75" t="s">
        <v>4</v>
      </c>
      <c r="F75">
        <v>7</v>
      </c>
      <c r="H75" t="s">
        <v>5</v>
      </c>
      <c r="I75" s="1">
        <v>11.64</v>
      </c>
      <c r="J75" s="1">
        <v>11.52</v>
      </c>
      <c r="K75" t="s">
        <v>6</v>
      </c>
    </row>
    <row r="76" spans="1:11">
      <c r="A76" t="s">
        <v>61</v>
      </c>
      <c r="B76">
        <v>460613</v>
      </c>
      <c r="C76" s="2" t="str">
        <f>"LQ35NP5C"</f>
        <v>LQ35NP5C</v>
      </c>
      <c r="D76" t="s">
        <v>80</v>
      </c>
      <c r="E76" t="s">
        <v>4</v>
      </c>
      <c r="F76">
        <v>10</v>
      </c>
      <c r="H76" t="s">
        <v>5</v>
      </c>
      <c r="I76" s="1">
        <v>15.66</v>
      </c>
      <c r="J76" s="1">
        <v>15.51</v>
      </c>
      <c r="K76" t="s">
        <v>6</v>
      </c>
    </row>
    <row r="77" spans="1:11">
      <c r="A77" t="s">
        <v>61</v>
      </c>
      <c r="B77">
        <v>458283</v>
      </c>
      <c r="C77" s="2" t="str">
        <f>"PP6AJKWH"</f>
        <v>PP6AJKWH</v>
      </c>
      <c r="D77" t="s">
        <v>81</v>
      </c>
      <c r="E77" t="s">
        <v>4</v>
      </c>
      <c r="F77">
        <v>8</v>
      </c>
      <c r="H77" t="s">
        <v>5</v>
      </c>
      <c r="I77" s="1">
        <v>13.72</v>
      </c>
      <c r="J77" s="1">
        <v>13.51</v>
      </c>
      <c r="K77" t="s">
        <v>6</v>
      </c>
    </row>
    <row r="78" spans="1:11">
      <c r="A78" t="s">
        <v>61</v>
      </c>
      <c r="B78">
        <v>458280</v>
      </c>
      <c r="C78" s="2" t="str">
        <f>"PP6GREWH"</f>
        <v>PP6GREWH</v>
      </c>
      <c r="D78" t="s">
        <v>82</v>
      </c>
      <c r="E78" t="s">
        <v>4</v>
      </c>
      <c r="F78">
        <v>8</v>
      </c>
      <c r="H78" t="s">
        <v>5</v>
      </c>
      <c r="I78" s="1">
        <v>14.01</v>
      </c>
      <c r="J78" s="1">
        <v>13.81</v>
      </c>
      <c r="K78" t="s">
        <v>6</v>
      </c>
    </row>
    <row r="79" spans="1:11">
      <c r="A79" t="s">
        <v>61</v>
      </c>
      <c r="B79">
        <v>458281</v>
      </c>
      <c r="C79" s="2" t="str">
        <f>"PP9BUKWH"</f>
        <v>PP9BUKWH</v>
      </c>
      <c r="D79" t="s">
        <v>83</v>
      </c>
      <c r="E79" t="s">
        <v>4</v>
      </c>
      <c r="F79">
        <v>16</v>
      </c>
      <c r="H79" t="s">
        <v>5</v>
      </c>
      <c r="I79" s="1">
        <v>20.61</v>
      </c>
      <c r="J79" s="1">
        <v>20.309999999999999</v>
      </c>
      <c r="K79" t="s">
        <v>6</v>
      </c>
    </row>
    <row r="80" spans="1:11">
      <c r="A80" t="s">
        <v>61</v>
      </c>
      <c r="B80">
        <v>458279</v>
      </c>
      <c r="C80" s="2" t="str">
        <f>"PP9GRAWH"</f>
        <v>PP9GRAWH</v>
      </c>
      <c r="D80" t="s">
        <v>84</v>
      </c>
      <c r="E80" t="s">
        <v>4</v>
      </c>
      <c r="F80">
        <v>19</v>
      </c>
      <c r="H80" t="s">
        <v>5</v>
      </c>
      <c r="I80" s="1">
        <v>25.18</v>
      </c>
      <c r="J80" s="1">
        <v>24.8</v>
      </c>
      <c r="K80" t="s">
        <v>6</v>
      </c>
    </row>
    <row r="81" spans="1:11">
      <c r="A81" t="s">
        <v>61</v>
      </c>
      <c r="B81">
        <v>458277</v>
      </c>
      <c r="C81" s="2" t="str">
        <f>"PP9GREWH"</f>
        <v>PP9GREWH</v>
      </c>
      <c r="D81" t="s">
        <v>85</v>
      </c>
      <c r="E81" t="s">
        <v>4</v>
      </c>
      <c r="F81">
        <v>16</v>
      </c>
      <c r="H81" t="s">
        <v>5</v>
      </c>
      <c r="I81" s="1">
        <v>21.04</v>
      </c>
      <c r="J81" s="1">
        <v>20.72</v>
      </c>
      <c r="K81" t="s">
        <v>6</v>
      </c>
    </row>
    <row r="82" spans="1:11">
      <c r="A82" t="s">
        <v>61</v>
      </c>
      <c r="B82">
        <v>463390</v>
      </c>
      <c r="C82" s="2" t="str">
        <f>"PP9GRJWH"</f>
        <v>PP9GRJWH</v>
      </c>
      <c r="D82" t="s">
        <v>86</v>
      </c>
      <c r="E82" t="s">
        <v>4</v>
      </c>
      <c r="F82">
        <v>16</v>
      </c>
      <c r="H82" t="s">
        <v>5</v>
      </c>
      <c r="I82" s="1">
        <v>23.93</v>
      </c>
      <c r="J82" s="1">
        <v>23.58</v>
      </c>
      <c r="K82" t="s">
        <v>6</v>
      </c>
    </row>
    <row r="83" spans="1:11">
      <c r="A83" t="s">
        <v>61</v>
      </c>
      <c r="B83">
        <v>459108</v>
      </c>
      <c r="C83" s="2" t="str">
        <f>"SQ40NP5C"</f>
        <v>SQ40NP5C</v>
      </c>
      <c r="D83" t="s">
        <v>87</v>
      </c>
      <c r="E83" t="s">
        <v>4</v>
      </c>
      <c r="F83">
        <v>25</v>
      </c>
      <c r="H83" t="s">
        <v>5</v>
      </c>
      <c r="I83" s="1">
        <v>27.32</v>
      </c>
      <c r="J83" s="1">
        <v>27.05</v>
      </c>
      <c r="K83" t="s">
        <v>6</v>
      </c>
    </row>
    <row r="84" spans="1:11">
      <c r="A84" t="s">
        <v>61</v>
      </c>
      <c r="B84">
        <v>459109</v>
      </c>
      <c r="C84" s="2" t="str">
        <f>"SQ40NP5C25"</f>
        <v>SQ40NP5C25</v>
      </c>
      <c r="D84" t="s">
        <v>88</v>
      </c>
      <c r="E84" t="s">
        <v>4</v>
      </c>
      <c r="F84">
        <v>27</v>
      </c>
      <c r="H84" t="s">
        <v>5</v>
      </c>
      <c r="I84" s="1">
        <v>30.99</v>
      </c>
      <c r="J84" s="1">
        <v>30.69</v>
      </c>
      <c r="K84" t="s">
        <v>6</v>
      </c>
    </row>
    <row r="85" spans="1:11">
      <c r="A85" t="s">
        <v>61</v>
      </c>
      <c r="B85">
        <v>459301</v>
      </c>
      <c r="C85" s="2" t="str">
        <f>"SQ40NP5C25WH"</f>
        <v>SQ40NP5C25WH</v>
      </c>
      <c r="D85" t="s">
        <v>89</v>
      </c>
      <c r="E85" t="s">
        <v>4</v>
      </c>
      <c r="F85">
        <v>27</v>
      </c>
      <c r="H85" t="s">
        <v>5</v>
      </c>
      <c r="I85" s="1">
        <v>33.58</v>
      </c>
      <c r="J85" s="1">
        <v>33.25</v>
      </c>
      <c r="K85" t="s">
        <v>6</v>
      </c>
    </row>
    <row r="86" spans="1:11">
      <c r="A86" t="s">
        <v>61</v>
      </c>
      <c r="B86">
        <v>460854</v>
      </c>
      <c r="C86" s="2" t="str">
        <f>"SQ50NP5C25HD"</f>
        <v>SQ50NP5C25HD</v>
      </c>
      <c r="D86" t="s">
        <v>90</v>
      </c>
      <c r="E86" t="s">
        <v>4</v>
      </c>
      <c r="F86">
        <v>31</v>
      </c>
      <c r="H86" t="s">
        <v>5</v>
      </c>
      <c r="I86" s="1">
        <v>35.56</v>
      </c>
      <c r="J86" s="1">
        <v>35.21</v>
      </c>
      <c r="K86" t="s">
        <v>6</v>
      </c>
    </row>
    <row r="87" spans="1:11">
      <c r="A87" t="s">
        <v>61</v>
      </c>
      <c r="B87">
        <v>460853</v>
      </c>
      <c r="C87" s="2" t="str">
        <f>"SQ50NP5CHD"</f>
        <v>SQ50NP5CHD</v>
      </c>
      <c r="D87" t="s">
        <v>91</v>
      </c>
      <c r="E87" t="s">
        <v>4</v>
      </c>
      <c r="F87">
        <v>31</v>
      </c>
      <c r="H87" t="s">
        <v>5</v>
      </c>
      <c r="I87" s="1">
        <v>33.549999999999997</v>
      </c>
      <c r="J87" s="1">
        <v>33.22</v>
      </c>
      <c r="K87" t="s">
        <v>6</v>
      </c>
    </row>
    <row r="88" spans="1:11">
      <c r="A88" t="s">
        <v>61</v>
      </c>
      <c r="B88">
        <v>460869</v>
      </c>
      <c r="C88" s="2" t="str">
        <f>"SQ60NP5CEH"</f>
        <v>SQ60NP5CEH</v>
      </c>
      <c r="D88" t="s">
        <v>92</v>
      </c>
      <c r="E88" t="s">
        <v>4</v>
      </c>
      <c r="F88">
        <v>36</v>
      </c>
      <c r="H88" t="s">
        <v>5</v>
      </c>
      <c r="I88" s="1">
        <v>32.68</v>
      </c>
      <c r="J88" s="1">
        <v>32.36</v>
      </c>
      <c r="K88" t="s">
        <v>6</v>
      </c>
    </row>
    <row r="89" spans="1:11">
      <c r="A89" t="s">
        <v>61</v>
      </c>
      <c r="B89">
        <v>460826</v>
      </c>
      <c r="C89" s="2" t="str">
        <f>"SS57NP5C"</f>
        <v>SS57NP5C</v>
      </c>
      <c r="D89" t="s">
        <v>93</v>
      </c>
      <c r="E89" t="s">
        <v>4</v>
      </c>
      <c r="F89">
        <v>40</v>
      </c>
      <c r="H89" t="s">
        <v>5</v>
      </c>
      <c r="I89" s="1">
        <v>42.04</v>
      </c>
      <c r="J89" s="1">
        <v>41.63</v>
      </c>
      <c r="K89" t="s">
        <v>6</v>
      </c>
    </row>
    <row r="90" spans="1:11">
      <c r="A90" t="s">
        <v>61</v>
      </c>
      <c r="B90">
        <v>462402</v>
      </c>
      <c r="C90" s="2" t="str">
        <f>"WB02NP5C"</f>
        <v>WB02NP5C</v>
      </c>
      <c r="D90" t="s">
        <v>94</v>
      </c>
      <c r="E90" t="s">
        <v>4</v>
      </c>
      <c r="F90">
        <v>5</v>
      </c>
      <c r="H90" t="s">
        <v>5</v>
      </c>
      <c r="I90" s="1">
        <v>9.32</v>
      </c>
      <c r="J90" s="1">
        <v>9.2200000000000006</v>
      </c>
      <c r="K90" t="s">
        <v>6</v>
      </c>
    </row>
    <row r="91" spans="1:11">
      <c r="A91" t="s">
        <v>61</v>
      </c>
      <c r="B91">
        <v>459114</v>
      </c>
      <c r="C91" s="2" t="str">
        <f>"WB04NP5C"</f>
        <v>WB04NP5C</v>
      </c>
      <c r="D91" t="s">
        <v>95</v>
      </c>
      <c r="E91" t="s">
        <v>4</v>
      </c>
      <c r="F91">
        <v>8</v>
      </c>
      <c r="H91" t="s">
        <v>5</v>
      </c>
      <c r="I91" s="1">
        <v>12.28</v>
      </c>
      <c r="J91" s="1">
        <v>12.16</v>
      </c>
      <c r="K91" t="s">
        <v>6</v>
      </c>
    </row>
    <row r="92" spans="1:11">
      <c r="A92" t="s">
        <v>61</v>
      </c>
      <c r="B92">
        <v>459116</v>
      </c>
      <c r="C92" s="2" t="str">
        <f>"WB05NP5C"</f>
        <v>WB05NP5C</v>
      </c>
      <c r="D92" t="s">
        <v>96</v>
      </c>
      <c r="E92" t="s">
        <v>4</v>
      </c>
      <c r="F92">
        <v>9</v>
      </c>
      <c r="H92" t="s">
        <v>5</v>
      </c>
      <c r="I92" s="1">
        <v>13.54</v>
      </c>
      <c r="J92" s="1">
        <v>13.41</v>
      </c>
      <c r="K92" t="s">
        <v>6</v>
      </c>
    </row>
    <row r="93" spans="1:11">
      <c r="A93" t="s">
        <v>61</v>
      </c>
      <c r="B93">
        <v>459117</v>
      </c>
      <c r="C93" s="2" t="str">
        <f>"WB06NP5C"</f>
        <v>WB06NP5C</v>
      </c>
      <c r="D93" t="s">
        <v>97</v>
      </c>
      <c r="E93" t="s">
        <v>4</v>
      </c>
      <c r="F93">
        <v>11</v>
      </c>
      <c r="H93" t="s">
        <v>5</v>
      </c>
      <c r="I93" s="1">
        <v>16.79</v>
      </c>
      <c r="J93" s="1">
        <v>16.62</v>
      </c>
      <c r="K93" t="s">
        <v>6</v>
      </c>
    </row>
    <row r="94" spans="1:11">
      <c r="A94" t="s">
        <v>61</v>
      </c>
      <c r="B94">
        <v>459122</v>
      </c>
      <c r="C94" s="2" t="str">
        <f>"WB08NP5C"</f>
        <v>WB08NP5C</v>
      </c>
      <c r="D94" t="s">
        <v>98</v>
      </c>
      <c r="E94" t="s">
        <v>4</v>
      </c>
      <c r="F94">
        <v>13</v>
      </c>
      <c r="H94" t="s">
        <v>5</v>
      </c>
      <c r="I94" s="1">
        <v>17.48</v>
      </c>
      <c r="J94" s="1">
        <v>17.309999999999999</v>
      </c>
      <c r="K94" t="s">
        <v>6</v>
      </c>
    </row>
    <row r="95" spans="1:11">
      <c r="A95" t="s">
        <v>61</v>
      </c>
      <c r="B95">
        <v>459123</v>
      </c>
      <c r="C95" s="2" t="str">
        <f>"WB10NP5C"</f>
        <v>WB10NP5C</v>
      </c>
      <c r="D95" t="s">
        <v>99</v>
      </c>
      <c r="E95" t="s">
        <v>4</v>
      </c>
      <c r="F95">
        <v>15</v>
      </c>
      <c r="H95" t="s">
        <v>5</v>
      </c>
      <c r="I95" s="1">
        <v>19.809999999999999</v>
      </c>
      <c r="J95" s="1">
        <v>19.61</v>
      </c>
      <c r="K95" t="s">
        <v>6</v>
      </c>
    </row>
    <row r="96" spans="1:11">
      <c r="A96" t="s">
        <v>61</v>
      </c>
      <c r="B96">
        <v>459124</v>
      </c>
      <c r="C96" s="2" t="str">
        <f>"WB12NP5C"</f>
        <v>WB12NP5C</v>
      </c>
      <c r="D96" t="s">
        <v>100</v>
      </c>
      <c r="E96" t="s">
        <v>4</v>
      </c>
      <c r="F96">
        <v>18</v>
      </c>
      <c r="H96" t="s">
        <v>5</v>
      </c>
      <c r="I96" s="1">
        <v>25.83</v>
      </c>
      <c r="J96" s="1">
        <v>25.57</v>
      </c>
      <c r="K96" t="s">
        <v>6</v>
      </c>
    </row>
    <row r="97" spans="1:12">
      <c r="A97" t="s">
        <v>61</v>
      </c>
      <c r="B97">
        <v>459125</v>
      </c>
      <c r="C97" s="2" t="str">
        <f>"WB16NP5C"</f>
        <v>WB16NP5C</v>
      </c>
      <c r="D97" t="s">
        <v>101</v>
      </c>
      <c r="E97" t="s">
        <v>4</v>
      </c>
      <c r="F97">
        <v>26</v>
      </c>
      <c r="H97" t="s">
        <v>5</v>
      </c>
      <c r="I97" s="1">
        <v>30.4</v>
      </c>
      <c r="J97" s="1">
        <v>30.1</v>
      </c>
      <c r="K97" t="s">
        <v>6</v>
      </c>
    </row>
    <row r="98" spans="1:12">
      <c r="A98" t="s">
        <v>61</v>
      </c>
      <c r="B98">
        <v>459126</v>
      </c>
      <c r="C98" s="2" t="str">
        <f>"WB20NP5C"</f>
        <v>WB20NP5C</v>
      </c>
      <c r="D98" t="s">
        <v>102</v>
      </c>
      <c r="E98" t="s">
        <v>4</v>
      </c>
      <c r="F98">
        <v>25</v>
      </c>
      <c r="H98" t="s">
        <v>5</v>
      </c>
      <c r="I98" s="1">
        <v>31.36</v>
      </c>
      <c r="J98" s="1">
        <v>31.05</v>
      </c>
      <c r="K98" t="s">
        <v>6</v>
      </c>
    </row>
    <row r="99" spans="1:12">
      <c r="A99" t="s">
        <v>61</v>
      </c>
      <c r="B99">
        <v>470738</v>
      </c>
      <c r="C99" s="2" t="str">
        <f>"WB20NP5CTL"</f>
        <v>WB20NP5CTL</v>
      </c>
      <c r="D99" t="s">
        <v>103</v>
      </c>
      <c r="E99" t="s">
        <v>4</v>
      </c>
      <c r="F99">
        <v>26</v>
      </c>
      <c r="H99" t="s">
        <v>5</v>
      </c>
      <c r="I99" s="1">
        <v>32.18</v>
      </c>
      <c r="J99" s="1">
        <v>31.86</v>
      </c>
      <c r="K99" t="s">
        <v>6</v>
      </c>
    </row>
    <row r="100" spans="1:12">
      <c r="A100" t="s">
        <v>104</v>
      </c>
      <c r="B100">
        <v>482679</v>
      </c>
      <c r="C100" s="2" t="str">
        <f>"APC2"</f>
        <v>APC2</v>
      </c>
      <c r="D100" t="s">
        <v>105</v>
      </c>
      <c r="E100" t="s">
        <v>4</v>
      </c>
      <c r="F100">
        <v>60</v>
      </c>
      <c r="G100">
        <v>5</v>
      </c>
      <c r="H100" t="s">
        <v>106</v>
      </c>
      <c r="I100" s="1">
        <v>4.3</v>
      </c>
      <c r="J100" s="1">
        <v>4.09</v>
      </c>
      <c r="K100" t="s">
        <v>21</v>
      </c>
      <c r="L100" s="1">
        <v>4.5</v>
      </c>
    </row>
    <row r="101" spans="1:12">
      <c r="A101" t="s">
        <v>104</v>
      </c>
      <c r="B101">
        <v>482684</v>
      </c>
      <c r="C101" s="2" t="str">
        <f>"BST10"</f>
        <v>BST10</v>
      </c>
      <c r="D101" t="s">
        <v>107</v>
      </c>
      <c r="E101" t="s">
        <v>4</v>
      </c>
      <c r="F101">
        <v>18.3</v>
      </c>
      <c r="G101">
        <v>1.83</v>
      </c>
      <c r="H101" t="s">
        <v>108</v>
      </c>
      <c r="I101" s="1">
        <v>28.59</v>
      </c>
      <c r="J101" s="1">
        <v>27.16</v>
      </c>
      <c r="K101" t="s">
        <v>21</v>
      </c>
      <c r="L101" s="1">
        <v>29.87</v>
      </c>
    </row>
    <row r="102" spans="1:12">
      <c r="A102" t="s">
        <v>104</v>
      </c>
      <c r="B102">
        <v>482685</v>
      </c>
      <c r="C102" s="2" t="str">
        <f>"BST8"</f>
        <v>BST8</v>
      </c>
      <c r="D102" t="s">
        <v>109</v>
      </c>
      <c r="E102" t="s">
        <v>4</v>
      </c>
      <c r="F102">
        <v>16.7</v>
      </c>
      <c r="G102">
        <v>1.67</v>
      </c>
      <c r="H102" t="s">
        <v>108</v>
      </c>
      <c r="I102" s="1">
        <v>19.440000000000001</v>
      </c>
      <c r="J102" s="1">
        <v>18.47</v>
      </c>
      <c r="K102" t="s">
        <v>21</v>
      </c>
      <c r="L102" s="1">
        <v>20.32</v>
      </c>
    </row>
    <row r="103" spans="1:12">
      <c r="A103" t="s">
        <v>104</v>
      </c>
      <c r="B103">
        <v>482687</v>
      </c>
      <c r="C103" s="2" t="str">
        <f>"CBC3"</f>
        <v>CBC3</v>
      </c>
      <c r="D103" t="s">
        <v>110</v>
      </c>
      <c r="E103" t="s">
        <v>4</v>
      </c>
      <c r="F103">
        <v>3</v>
      </c>
      <c r="G103">
        <v>0.25</v>
      </c>
      <c r="H103" t="s">
        <v>106</v>
      </c>
      <c r="I103" s="1">
        <v>6.68</v>
      </c>
      <c r="J103" s="1">
        <v>6.35</v>
      </c>
      <c r="K103" t="s">
        <v>21</v>
      </c>
      <c r="L103" s="1">
        <v>6.98</v>
      </c>
    </row>
    <row r="104" spans="1:12">
      <c r="A104" t="s">
        <v>104</v>
      </c>
      <c r="B104">
        <v>482688</v>
      </c>
      <c r="C104" s="2" t="str">
        <f>"CCPSET10X2"</f>
        <v>CCPSET10X2</v>
      </c>
      <c r="D104" t="s">
        <v>111</v>
      </c>
      <c r="E104" t="s">
        <v>4</v>
      </c>
      <c r="F104">
        <v>11.28</v>
      </c>
      <c r="G104">
        <v>0.94</v>
      </c>
      <c r="H104" t="s">
        <v>106</v>
      </c>
      <c r="I104" s="1">
        <v>14.89</v>
      </c>
      <c r="J104" s="1">
        <v>14.15</v>
      </c>
      <c r="K104" t="s">
        <v>21</v>
      </c>
      <c r="L104" s="1">
        <v>15.56</v>
      </c>
    </row>
    <row r="105" spans="1:12">
      <c r="A105" t="s">
        <v>104</v>
      </c>
      <c r="B105">
        <v>482689</v>
      </c>
      <c r="C105" s="2" t="str">
        <f>"CCPSET10X3"</f>
        <v>CCPSET10X3</v>
      </c>
      <c r="D105" t="s">
        <v>112</v>
      </c>
      <c r="E105" t="s">
        <v>4</v>
      </c>
      <c r="F105">
        <v>14.4</v>
      </c>
      <c r="G105">
        <v>1.2</v>
      </c>
      <c r="H105" t="s">
        <v>106</v>
      </c>
      <c r="I105" s="1">
        <v>16.190000000000001</v>
      </c>
      <c r="J105" s="1">
        <v>15.38</v>
      </c>
      <c r="K105" t="s">
        <v>21</v>
      </c>
      <c r="L105" s="1">
        <v>16.920000000000002</v>
      </c>
    </row>
    <row r="106" spans="1:12">
      <c r="A106" t="s">
        <v>104</v>
      </c>
      <c r="B106">
        <v>482691</v>
      </c>
      <c r="C106" s="2" t="str">
        <f>"CCPSET8X2"</f>
        <v>CCPSET8X2</v>
      </c>
      <c r="D106" t="s">
        <v>113</v>
      </c>
      <c r="E106" t="s">
        <v>4</v>
      </c>
      <c r="F106">
        <v>8.2799999999999994</v>
      </c>
      <c r="G106">
        <v>0.69</v>
      </c>
      <c r="H106" t="s">
        <v>106</v>
      </c>
      <c r="I106" s="1">
        <v>11.52</v>
      </c>
      <c r="J106" s="1">
        <v>10.95</v>
      </c>
      <c r="K106" t="s">
        <v>21</v>
      </c>
      <c r="L106" s="1">
        <v>12.04</v>
      </c>
    </row>
    <row r="107" spans="1:12">
      <c r="A107" t="s">
        <v>104</v>
      </c>
      <c r="B107">
        <v>482695</v>
      </c>
      <c r="C107" s="2" t="str">
        <f>"CG1"</f>
        <v>CG1</v>
      </c>
      <c r="D107" t="s">
        <v>114</v>
      </c>
      <c r="E107" t="s">
        <v>4</v>
      </c>
      <c r="F107">
        <v>4.5599999999999996</v>
      </c>
      <c r="G107">
        <v>0.38</v>
      </c>
      <c r="H107" t="s">
        <v>106</v>
      </c>
      <c r="I107" s="1">
        <v>2.57</v>
      </c>
      <c r="J107" s="1">
        <v>2.4500000000000002</v>
      </c>
      <c r="K107" t="s">
        <v>21</v>
      </c>
      <c r="L107" s="1">
        <v>2.69</v>
      </c>
    </row>
    <row r="108" spans="1:12">
      <c r="A108" t="s">
        <v>104</v>
      </c>
      <c r="B108">
        <v>482698</v>
      </c>
      <c r="C108" s="2" t="str">
        <f>"CL2"</f>
        <v>CL2</v>
      </c>
      <c r="D108" t="s">
        <v>115</v>
      </c>
      <c r="E108" t="s">
        <v>4</v>
      </c>
      <c r="F108">
        <v>9</v>
      </c>
      <c r="G108">
        <v>0.75</v>
      </c>
      <c r="H108" t="s">
        <v>106</v>
      </c>
      <c r="I108" s="1">
        <v>20.399999999999999</v>
      </c>
      <c r="J108" s="1">
        <v>19.38</v>
      </c>
      <c r="K108" t="s">
        <v>21</v>
      </c>
      <c r="L108" s="1">
        <v>21.31</v>
      </c>
    </row>
    <row r="109" spans="1:12">
      <c r="A109" t="s">
        <v>104</v>
      </c>
      <c r="B109">
        <v>482699</v>
      </c>
      <c r="C109" s="2" t="str">
        <f>"CP10X2"</f>
        <v>CP10X2</v>
      </c>
      <c r="D109" t="s">
        <v>116</v>
      </c>
      <c r="E109" t="s">
        <v>4</v>
      </c>
      <c r="F109">
        <v>8.2799999999999994</v>
      </c>
      <c r="G109">
        <v>0.69</v>
      </c>
      <c r="H109" t="s">
        <v>106</v>
      </c>
      <c r="I109" s="1">
        <v>7.78</v>
      </c>
      <c r="J109" s="1">
        <v>7.39</v>
      </c>
      <c r="K109" t="s">
        <v>21</v>
      </c>
      <c r="L109" s="1">
        <v>8.1300000000000008</v>
      </c>
    </row>
    <row r="110" spans="1:12">
      <c r="A110" t="s">
        <v>104</v>
      </c>
      <c r="B110">
        <v>482700</v>
      </c>
      <c r="C110" s="2" t="str">
        <f>"CP12X2"</f>
        <v>CP12X2</v>
      </c>
      <c r="D110" t="s">
        <v>117</v>
      </c>
      <c r="E110" t="s">
        <v>4</v>
      </c>
      <c r="F110">
        <v>10.56</v>
      </c>
      <c r="G110">
        <v>0.88</v>
      </c>
      <c r="H110" t="s">
        <v>106</v>
      </c>
      <c r="I110" s="1">
        <v>8.16</v>
      </c>
      <c r="J110" s="1">
        <v>7.75</v>
      </c>
      <c r="K110" t="s">
        <v>21</v>
      </c>
      <c r="L110" s="1">
        <v>8.52</v>
      </c>
    </row>
    <row r="111" spans="1:12">
      <c r="A111" t="s">
        <v>104</v>
      </c>
      <c r="B111">
        <v>482704</v>
      </c>
      <c r="C111" s="2" t="str">
        <f>"CP14X2"</f>
        <v>CP14X2</v>
      </c>
      <c r="D111" t="s">
        <v>118</v>
      </c>
      <c r="E111" t="s">
        <v>4</v>
      </c>
      <c r="F111">
        <v>13.2</v>
      </c>
      <c r="G111">
        <v>1.1000000000000001</v>
      </c>
      <c r="H111" t="s">
        <v>106</v>
      </c>
      <c r="I111" s="1">
        <v>10.050000000000001</v>
      </c>
      <c r="J111" s="1">
        <v>9.5500000000000007</v>
      </c>
      <c r="K111" t="s">
        <v>21</v>
      </c>
      <c r="L111" s="1">
        <v>10.5</v>
      </c>
    </row>
    <row r="112" spans="1:12">
      <c r="A112" t="s">
        <v>104</v>
      </c>
      <c r="B112">
        <v>482706</v>
      </c>
      <c r="C112" s="2" t="str">
        <f>"CP6X2"</f>
        <v>CP6X2</v>
      </c>
      <c r="D112" t="s">
        <v>119</v>
      </c>
      <c r="E112" t="s">
        <v>4</v>
      </c>
      <c r="F112">
        <v>3.72</v>
      </c>
      <c r="G112">
        <v>0.31</v>
      </c>
      <c r="H112" t="s">
        <v>106</v>
      </c>
      <c r="I112" s="1">
        <v>5.54</v>
      </c>
      <c r="J112" s="1">
        <v>5.26</v>
      </c>
      <c r="K112" t="s">
        <v>21</v>
      </c>
      <c r="L112" s="1">
        <v>5.79</v>
      </c>
    </row>
    <row r="113" spans="1:12">
      <c r="A113" t="s">
        <v>104</v>
      </c>
      <c r="B113">
        <v>482707</v>
      </c>
      <c r="C113" s="2" t="str">
        <f>"CP8X2"</f>
        <v>CP8X2</v>
      </c>
      <c r="D113" t="s">
        <v>120</v>
      </c>
      <c r="E113" t="s">
        <v>4</v>
      </c>
      <c r="F113">
        <v>6</v>
      </c>
      <c r="G113">
        <v>0.5</v>
      </c>
      <c r="H113" t="s">
        <v>106</v>
      </c>
      <c r="I113" s="1">
        <v>5.88</v>
      </c>
      <c r="J113" s="1">
        <v>5.58</v>
      </c>
      <c r="K113" t="s">
        <v>21</v>
      </c>
      <c r="L113" s="1">
        <v>6.14</v>
      </c>
    </row>
    <row r="114" spans="1:12">
      <c r="A114" t="s">
        <v>104</v>
      </c>
      <c r="B114">
        <v>484789</v>
      </c>
      <c r="C114" s="2" t="str">
        <f>"CP9X2"</f>
        <v>CP9X2</v>
      </c>
      <c r="D114" t="s">
        <v>121</v>
      </c>
      <c r="E114" t="s">
        <v>4</v>
      </c>
      <c r="F114">
        <v>7.2</v>
      </c>
      <c r="G114">
        <v>0.6</v>
      </c>
      <c r="H114" t="s">
        <v>106</v>
      </c>
      <c r="I114" s="1">
        <v>6.25</v>
      </c>
      <c r="J114" s="1">
        <v>5.94</v>
      </c>
      <c r="K114" t="s">
        <v>21</v>
      </c>
      <c r="L114" s="1">
        <v>6.53</v>
      </c>
    </row>
    <row r="115" spans="1:12">
      <c r="A115" t="s">
        <v>104</v>
      </c>
      <c r="B115">
        <v>482708</v>
      </c>
      <c r="C115" s="2" t="str">
        <f>"CPH10X3"</f>
        <v>CPH10X3</v>
      </c>
      <c r="D115" t="s">
        <v>122</v>
      </c>
      <c r="E115" t="s">
        <v>4</v>
      </c>
      <c r="F115">
        <v>11.28</v>
      </c>
      <c r="G115">
        <v>0.94</v>
      </c>
      <c r="H115" t="s">
        <v>106</v>
      </c>
      <c r="I115" s="1">
        <v>9.1300000000000008</v>
      </c>
      <c r="J115" s="1">
        <v>8.67</v>
      </c>
      <c r="K115" t="s">
        <v>21</v>
      </c>
      <c r="L115" s="1">
        <v>9.5399999999999991</v>
      </c>
    </row>
    <row r="116" spans="1:12">
      <c r="A116" t="s">
        <v>104</v>
      </c>
      <c r="B116">
        <v>482710</v>
      </c>
      <c r="C116" s="2" t="str">
        <f>"CPH8X3"</f>
        <v>CPH8X3</v>
      </c>
      <c r="D116" t="s">
        <v>123</v>
      </c>
      <c r="E116" t="s">
        <v>4</v>
      </c>
      <c r="F116">
        <v>9</v>
      </c>
      <c r="G116">
        <v>0.75</v>
      </c>
      <c r="H116" t="s">
        <v>106</v>
      </c>
      <c r="I116" s="1">
        <v>7.35</v>
      </c>
      <c r="J116" s="1">
        <v>6.98</v>
      </c>
      <c r="K116" t="s">
        <v>21</v>
      </c>
      <c r="L116" s="1">
        <v>7.68</v>
      </c>
    </row>
    <row r="117" spans="1:12">
      <c r="A117" t="s">
        <v>104</v>
      </c>
      <c r="B117">
        <v>482711</v>
      </c>
      <c r="C117" s="2" t="str">
        <f>"CPT10X1"</f>
        <v>CPT10X1</v>
      </c>
      <c r="D117" t="s">
        <v>124</v>
      </c>
      <c r="E117" t="s">
        <v>4</v>
      </c>
      <c r="F117">
        <v>6</v>
      </c>
      <c r="G117">
        <v>0.5</v>
      </c>
      <c r="H117" t="s">
        <v>106</v>
      </c>
      <c r="I117" s="1">
        <v>5</v>
      </c>
      <c r="J117" s="1">
        <v>4.75</v>
      </c>
      <c r="K117" t="s">
        <v>21</v>
      </c>
      <c r="L117" s="1">
        <v>5.22</v>
      </c>
    </row>
    <row r="118" spans="1:12">
      <c r="A118" t="s">
        <v>104</v>
      </c>
      <c r="B118">
        <v>482713</v>
      </c>
      <c r="C118" s="2" t="str">
        <f>"CPT12X1"</f>
        <v>CPT12X1</v>
      </c>
      <c r="D118" t="s">
        <v>125</v>
      </c>
      <c r="E118" t="s">
        <v>4</v>
      </c>
      <c r="F118">
        <v>9</v>
      </c>
      <c r="G118">
        <v>0.75</v>
      </c>
      <c r="H118" t="s">
        <v>106</v>
      </c>
      <c r="I118" s="1">
        <v>5.86</v>
      </c>
      <c r="J118" s="1">
        <v>5.56</v>
      </c>
      <c r="K118" t="s">
        <v>21</v>
      </c>
      <c r="L118" s="1">
        <v>6.12</v>
      </c>
    </row>
    <row r="119" spans="1:12">
      <c r="A119" t="s">
        <v>104</v>
      </c>
      <c r="B119">
        <v>482716</v>
      </c>
      <c r="C119" s="2" t="str">
        <f>"CPT14X1"</f>
        <v>CPT14X1</v>
      </c>
      <c r="D119" t="s">
        <v>126</v>
      </c>
      <c r="E119" t="s">
        <v>4</v>
      </c>
      <c r="F119">
        <v>11.28</v>
      </c>
      <c r="G119">
        <v>0.94</v>
      </c>
      <c r="H119" t="s">
        <v>106</v>
      </c>
      <c r="I119" s="1">
        <v>7.81</v>
      </c>
      <c r="J119" s="1">
        <v>7.42</v>
      </c>
      <c r="K119" t="s">
        <v>21</v>
      </c>
      <c r="L119" s="1">
        <v>8.16</v>
      </c>
    </row>
    <row r="120" spans="1:12">
      <c r="A120" t="s">
        <v>104</v>
      </c>
      <c r="B120">
        <v>482717</v>
      </c>
      <c r="C120" s="2" t="str">
        <f>"CPT14X2"</f>
        <v>CPT14X2</v>
      </c>
      <c r="D120" t="s">
        <v>127</v>
      </c>
      <c r="E120" t="s">
        <v>4</v>
      </c>
      <c r="F120">
        <v>12</v>
      </c>
      <c r="G120">
        <v>1</v>
      </c>
      <c r="H120" t="s">
        <v>106</v>
      </c>
      <c r="I120" s="1">
        <v>8.3699999999999992</v>
      </c>
      <c r="J120" s="1">
        <v>7.94</v>
      </c>
      <c r="K120" t="s">
        <v>21</v>
      </c>
      <c r="L120" s="1">
        <v>8.74</v>
      </c>
    </row>
    <row r="121" spans="1:12">
      <c r="A121" t="s">
        <v>104</v>
      </c>
      <c r="B121">
        <v>482719</v>
      </c>
      <c r="C121" s="2" t="str">
        <f>"CPT16X1"</f>
        <v>CPT16X1</v>
      </c>
      <c r="D121" t="s">
        <v>128</v>
      </c>
      <c r="E121" t="s">
        <v>4</v>
      </c>
      <c r="F121">
        <v>13.2</v>
      </c>
      <c r="G121">
        <v>1.1000000000000001</v>
      </c>
      <c r="H121" t="s">
        <v>106</v>
      </c>
      <c r="I121" s="1">
        <v>8.57</v>
      </c>
      <c r="J121" s="1">
        <v>8.14</v>
      </c>
      <c r="K121" t="s">
        <v>21</v>
      </c>
      <c r="L121" s="1">
        <v>8.9600000000000009</v>
      </c>
    </row>
    <row r="122" spans="1:12">
      <c r="A122" t="s">
        <v>104</v>
      </c>
      <c r="B122">
        <v>482722</v>
      </c>
      <c r="C122" s="2" t="str">
        <f>"CPT7X1"</f>
        <v>CPT7X1</v>
      </c>
      <c r="D122" t="s">
        <v>129</v>
      </c>
      <c r="E122" t="s">
        <v>4</v>
      </c>
      <c r="F122">
        <v>4.5599999999999996</v>
      </c>
      <c r="G122">
        <v>0.38</v>
      </c>
      <c r="H122" t="s">
        <v>106</v>
      </c>
      <c r="I122" s="1">
        <v>3.7</v>
      </c>
      <c r="J122" s="1">
        <v>3.51</v>
      </c>
      <c r="K122" t="s">
        <v>21</v>
      </c>
      <c r="L122" s="1">
        <v>3.87</v>
      </c>
    </row>
    <row r="123" spans="1:12">
      <c r="A123" t="s">
        <v>104</v>
      </c>
      <c r="B123">
        <v>482723</v>
      </c>
      <c r="C123" s="2" t="str">
        <f>"CPT8X1"</f>
        <v>CPT8X1</v>
      </c>
      <c r="D123" t="s">
        <v>130</v>
      </c>
      <c r="E123" t="s">
        <v>4</v>
      </c>
      <c r="F123">
        <v>5.28</v>
      </c>
      <c r="G123">
        <v>0.44</v>
      </c>
      <c r="H123" t="s">
        <v>106</v>
      </c>
      <c r="I123" s="1">
        <v>3.91</v>
      </c>
      <c r="J123" s="1">
        <v>3.71</v>
      </c>
      <c r="K123" t="s">
        <v>21</v>
      </c>
      <c r="L123" s="1">
        <v>4.08</v>
      </c>
    </row>
    <row r="124" spans="1:12">
      <c r="A124" t="s">
        <v>104</v>
      </c>
      <c r="B124">
        <v>482724</v>
      </c>
      <c r="C124" s="2" t="str">
        <f>"CPT9X1"</f>
        <v>CPT9X1</v>
      </c>
      <c r="D124" t="s">
        <v>131</v>
      </c>
      <c r="E124" t="s">
        <v>4</v>
      </c>
      <c r="F124">
        <v>6</v>
      </c>
      <c r="G124">
        <v>0.5</v>
      </c>
      <c r="H124" t="s">
        <v>106</v>
      </c>
      <c r="I124" s="1">
        <v>4.5599999999999996</v>
      </c>
      <c r="J124" s="1">
        <v>4.33</v>
      </c>
      <c r="K124" t="s">
        <v>21</v>
      </c>
      <c r="L124" s="1">
        <v>4.76</v>
      </c>
    </row>
    <row r="125" spans="1:12">
      <c r="A125" t="s">
        <v>104</v>
      </c>
      <c r="B125">
        <v>482733</v>
      </c>
      <c r="C125" s="2" t="str">
        <f>"DC8"</f>
        <v>DC8</v>
      </c>
      <c r="D125" t="s">
        <v>132</v>
      </c>
      <c r="E125" t="s">
        <v>4</v>
      </c>
      <c r="F125">
        <v>5.28</v>
      </c>
      <c r="G125">
        <v>0.44</v>
      </c>
      <c r="H125" t="s">
        <v>106</v>
      </c>
      <c r="I125" s="1">
        <v>3</v>
      </c>
      <c r="J125" s="1">
        <v>2.85</v>
      </c>
      <c r="K125" t="s">
        <v>21</v>
      </c>
      <c r="L125" s="1">
        <v>3.14</v>
      </c>
    </row>
    <row r="126" spans="1:12">
      <c r="A126" t="s">
        <v>104</v>
      </c>
      <c r="B126">
        <v>482734</v>
      </c>
      <c r="C126" s="2" t="str">
        <f>"DDFPP1"</f>
        <v>DDFPP1</v>
      </c>
      <c r="D126" t="s">
        <v>133</v>
      </c>
      <c r="E126" t="s">
        <v>4</v>
      </c>
      <c r="F126">
        <v>1.25</v>
      </c>
      <c r="H126" t="s">
        <v>5</v>
      </c>
      <c r="I126" s="1">
        <v>19.11</v>
      </c>
      <c r="J126" s="1">
        <v>18.149999999999999</v>
      </c>
      <c r="K126" t="s">
        <v>6</v>
      </c>
    </row>
    <row r="127" spans="1:12">
      <c r="A127" t="s">
        <v>104</v>
      </c>
      <c r="B127">
        <v>482736</v>
      </c>
      <c r="C127" s="2" t="str">
        <f>"DDHPP1"</f>
        <v>DDHPP1</v>
      </c>
      <c r="D127" t="s">
        <v>134</v>
      </c>
      <c r="E127" t="s">
        <v>4</v>
      </c>
      <c r="F127">
        <v>0.75</v>
      </c>
      <c r="H127" t="s">
        <v>5</v>
      </c>
      <c r="I127" s="1">
        <v>12.42</v>
      </c>
      <c r="J127" s="1">
        <v>11.79</v>
      </c>
      <c r="K127" t="s">
        <v>6</v>
      </c>
    </row>
    <row r="128" spans="1:12">
      <c r="A128" t="s">
        <v>104</v>
      </c>
      <c r="B128">
        <v>482737</v>
      </c>
      <c r="C128" s="2" t="str">
        <f>"DDHPP2"</f>
        <v>DDHPP2</v>
      </c>
      <c r="D128" t="s">
        <v>135</v>
      </c>
      <c r="E128" t="s">
        <v>4</v>
      </c>
      <c r="F128">
        <v>0.63</v>
      </c>
      <c r="H128" t="s">
        <v>5</v>
      </c>
      <c r="I128" s="1">
        <v>10.51</v>
      </c>
      <c r="J128" s="1">
        <v>9.99</v>
      </c>
      <c r="K128" t="s">
        <v>6</v>
      </c>
    </row>
    <row r="129" spans="1:12">
      <c r="A129" t="s">
        <v>104</v>
      </c>
      <c r="B129">
        <v>482769</v>
      </c>
      <c r="C129" s="2" t="str">
        <f>"DNC3"</f>
        <v>DNC3</v>
      </c>
      <c r="D129" t="s">
        <v>136</v>
      </c>
      <c r="E129" t="s">
        <v>4</v>
      </c>
      <c r="F129">
        <v>20.399999999999999</v>
      </c>
      <c r="G129">
        <v>1.7</v>
      </c>
      <c r="H129" t="s">
        <v>106</v>
      </c>
      <c r="I129" s="1">
        <v>6.84</v>
      </c>
      <c r="J129" s="1">
        <v>6.5</v>
      </c>
      <c r="K129" t="s">
        <v>21</v>
      </c>
      <c r="L129" s="1">
        <v>7.15</v>
      </c>
    </row>
    <row r="130" spans="1:12">
      <c r="A130" t="s">
        <v>104</v>
      </c>
      <c r="B130">
        <v>482738</v>
      </c>
      <c r="C130" s="2" t="str">
        <f>"DP800"</f>
        <v>DP800</v>
      </c>
      <c r="D130" t="s">
        <v>137</v>
      </c>
      <c r="E130" t="s">
        <v>4</v>
      </c>
      <c r="F130">
        <v>8.2799999999999994</v>
      </c>
      <c r="G130">
        <v>0.69</v>
      </c>
      <c r="H130" t="s">
        <v>106</v>
      </c>
      <c r="I130" s="1">
        <v>6.02</v>
      </c>
      <c r="J130" s="1">
        <v>5.72</v>
      </c>
      <c r="K130" t="s">
        <v>21</v>
      </c>
      <c r="L130" s="1">
        <v>6.29</v>
      </c>
    </row>
    <row r="131" spans="1:12">
      <c r="A131" t="s">
        <v>104</v>
      </c>
      <c r="B131">
        <v>482742</v>
      </c>
      <c r="C131" s="2" t="str">
        <f>"FP209"</f>
        <v>FP209</v>
      </c>
      <c r="D131" t="s">
        <v>138</v>
      </c>
      <c r="E131" t="s">
        <v>4</v>
      </c>
      <c r="F131">
        <v>4.5599999999999996</v>
      </c>
      <c r="G131">
        <v>0.38</v>
      </c>
      <c r="H131" t="s">
        <v>106</v>
      </c>
      <c r="I131" s="1">
        <v>5.76</v>
      </c>
      <c r="J131" s="1">
        <v>5.47</v>
      </c>
      <c r="K131" t="s">
        <v>21</v>
      </c>
      <c r="L131" s="1">
        <v>6.02</v>
      </c>
    </row>
    <row r="132" spans="1:12">
      <c r="A132" t="s">
        <v>104</v>
      </c>
      <c r="B132">
        <v>482744</v>
      </c>
      <c r="C132" s="2" t="str">
        <f>"FP210"</f>
        <v>FP210</v>
      </c>
      <c r="D132" t="s">
        <v>139</v>
      </c>
      <c r="E132" t="s">
        <v>4</v>
      </c>
      <c r="F132">
        <v>6</v>
      </c>
      <c r="G132">
        <v>0.5</v>
      </c>
      <c r="H132" t="s">
        <v>106</v>
      </c>
      <c r="I132" s="1">
        <v>6.06</v>
      </c>
      <c r="J132" s="1">
        <v>5.76</v>
      </c>
      <c r="K132" t="s">
        <v>21</v>
      </c>
      <c r="L132" s="1">
        <v>6.34</v>
      </c>
    </row>
    <row r="133" spans="1:12">
      <c r="A133" t="s">
        <v>104</v>
      </c>
      <c r="B133">
        <v>482745</v>
      </c>
      <c r="C133" s="2" t="str">
        <f>"FP211"</f>
        <v>FP211</v>
      </c>
      <c r="D133" t="s">
        <v>140</v>
      </c>
      <c r="E133" t="s">
        <v>4</v>
      </c>
      <c r="F133">
        <v>6.72</v>
      </c>
      <c r="G133">
        <v>0.56000000000000005</v>
      </c>
      <c r="H133" t="s">
        <v>106</v>
      </c>
      <c r="I133" s="1">
        <v>7.19</v>
      </c>
      <c r="J133" s="1">
        <v>6.83</v>
      </c>
      <c r="K133" t="s">
        <v>21</v>
      </c>
      <c r="L133" s="1">
        <v>7.51</v>
      </c>
    </row>
    <row r="134" spans="1:12">
      <c r="A134" t="s">
        <v>104</v>
      </c>
      <c r="B134">
        <v>482746</v>
      </c>
      <c r="C134" s="2" t="str">
        <f>"FP212"</f>
        <v>FP212</v>
      </c>
      <c r="D134" t="s">
        <v>141</v>
      </c>
      <c r="E134" t="s">
        <v>4</v>
      </c>
      <c r="F134">
        <v>3</v>
      </c>
      <c r="G134">
        <v>0.25</v>
      </c>
      <c r="H134" t="s">
        <v>106</v>
      </c>
      <c r="I134" s="1">
        <v>7.55</v>
      </c>
      <c r="J134" s="1">
        <v>7.18</v>
      </c>
      <c r="K134" t="s">
        <v>21</v>
      </c>
      <c r="L134" s="1">
        <v>7.89</v>
      </c>
    </row>
    <row r="135" spans="1:12">
      <c r="A135" t="s">
        <v>104</v>
      </c>
      <c r="B135">
        <v>482748</v>
      </c>
      <c r="C135" s="2" t="str">
        <f>"FS9211"</f>
        <v>FS9211</v>
      </c>
      <c r="D135" t="s">
        <v>142</v>
      </c>
      <c r="E135" t="s">
        <v>4</v>
      </c>
      <c r="F135">
        <v>1</v>
      </c>
      <c r="H135" t="s">
        <v>5</v>
      </c>
      <c r="I135" s="1">
        <v>48.97</v>
      </c>
      <c r="J135" s="1">
        <v>46.52</v>
      </c>
      <c r="K135" t="s">
        <v>6</v>
      </c>
    </row>
    <row r="136" spans="1:12">
      <c r="A136" t="s">
        <v>104</v>
      </c>
      <c r="B136">
        <v>482749</v>
      </c>
      <c r="C136" s="2" t="str">
        <f>"FSS16"</f>
        <v>FSS16</v>
      </c>
      <c r="D136" t="s">
        <v>143</v>
      </c>
      <c r="E136" t="s">
        <v>4</v>
      </c>
      <c r="F136">
        <v>1.55</v>
      </c>
      <c r="H136" t="s">
        <v>5</v>
      </c>
      <c r="I136" s="1">
        <v>27.41</v>
      </c>
      <c r="J136" s="1">
        <v>26.04</v>
      </c>
      <c r="K136" t="s">
        <v>6</v>
      </c>
    </row>
    <row r="137" spans="1:12">
      <c r="A137" t="s">
        <v>104</v>
      </c>
      <c r="B137">
        <v>482750</v>
      </c>
      <c r="C137" s="2" t="str">
        <f>"IRP5"</f>
        <v>IRP5</v>
      </c>
      <c r="D137" t="s">
        <v>144</v>
      </c>
      <c r="E137" t="s">
        <v>4</v>
      </c>
      <c r="F137">
        <v>1.5</v>
      </c>
      <c r="H137" t="s">
        <v>5</v>
      </c>
      <c r="I137" s="1">
        <v>11.45</v>
      </c>
      <c r="J137" s="1">
        <v>10.87</v>
      </c>
      <c r="K137" t="s">
        <v>6</v>
      </c>
    </row>
    <row r="138" spans="1:12">
      <c r="A138" t="s">
        <v>104</v>
      </c>
      <c r="B138">
        <v>484776</v>
      </c>
      <c r="C138" s="2" t="str">
        <f>"KBL9"</f>
        <v>KBL9</v>
      </c>
      <c r="D138" t="s">
        <v>145</v>
      </c>
      <c r="E138" t="s">
        <v>4</v>
      </c>
      <c r="F138">
        <v>9</v>
      </c>
      <c r="G138">
        <v>0.75</v>
      </c>
      <c r="H138" t="s">
        <v>106</v>
      </c>
      <c r="I138" s="1">
        <v>13.73</v>
      </c>
      <c r="J138" s="1">
        <v>13.04</v>
      </c>
      <c r="K138" t="s">
        <v>21</v>
      </c>
      <c r="L138" s="1">
        <v>14.35</v>
      </c>
    </row>
    <row r="139" spans="1:12">
      <c r="A139" t="s">
        <v>104</v>
      </c>
      <c r="B139">
        <v>482752</v>
      </c>
      <c r="C139" s="2" t="str">
        <f>"MDC6SET"</f>
        <v>MDC6SET</v>
      </c>
      <c r="D139" t="s">
        <v>146</v>
      </c>
      <c r="E139" t="s">
        <v>4</v>
      </c>
      <c r="F139">
        <v>12</v>
      </c>
      <c r="G139">
        <v>1</v>
      </c>
      <c r="H139" t="s">
        <v>106</v>
      </c>
      <c r="I139" s="1">
        <v>24.81</v>
      </c>
      <c r="J139" s="1">
        <v>23.57</v>
      </c>
      <c r="K139" t="s">
        <v>21</v>
      </c>
      <c r="L139" s="1">
        <v>25.93</v>
      </c>
    </row>
    <row r="140" spans="1:12">
      <c r="A140" t="s">
        <v>104</v>
      </c>
      <c r="B140">
        <v>482753</v>
      </c>
      <c r="C140" s="2" t="str">
        <f>"MG100"</f>
        <v>MG100</v>
      </c>
      <c r="D140" t="s">
        <v>147</v>
      </c>
      <c r="E140" t="s">
        <v>4</v>
      </c>
      <c r="F140">
        <v>10.1</v>
      </c>
      <c r="H140" t="s">
        <v>5</v>
      </c>
      <c r="I140" s="1">
        <v>74.23</v>
      </c>
      <c r="J140" s="1">
        <v>70.52</v>
      </c>
      <c r="K140" t="s">
        <v>6</v>
      </c>
    </row>
    <row r="141" spans="1:12">
      <c r="A141" t="s">
        <v>104</v>
      </c>
      <c r="B141">
        <v>482754</v>
      </c>
      <c r="C141" s="2" t="str">
        <f>"MP12"</f>
        <v>MP12</v>
      </c>
      <c r="D141" t="s">
        <v>148</v>
      </c>
      <c r="E141" t="s">
        <v>4</v>
      </c>
      <c r="F141">
        <v>7.8</v>
      </c>
      <c r="G141">
        <v>1.3</v>
      </c>
      <c r="H141" t="s">
        <v>20</v>
      </c>
      <c r="I141" s="1">
        <v>14.48</v>
      </c>
      <c r="J141" s="1">
        <v>13.75</v>
      </c>
      <c r="K141" t="s">
        <v>21</v>
      </c>
      <c r="L141" s="1">
        <v>15.13</v>
      </c>
    </row>
    <row r="142" spans="1:12">
      <c r="A142" t="s">
        <v>104</v>
      </c>
      <c r="B142">
        <v>482755</v>
      </c>
      <c r="C142" s="2" t="str">
        <f>"MP24"</f>
        <v>MP24</v>
      </c>
      <c r="D142" t="s">
        <v>149</v>
      </c>
      <c r="E142" t="s">
        <v>4</v>
      </c>
      <c r="F142">
        <v>16.5</v>
      </c>
      <c r="G142">
        <v>2.75</v>
      </c>
      <c r="H142" t="s">
        <v>20</v>
      </c>
      <c r="I142" s="1">
        <v>24.7</v>
      </c>
      <c r="J142" s="1">
        <v>23.47</v>
      </c>
      <c r="K142" t="s">
        <v>21</v>
      </c>
      <c r="L142" s="1">
        <v>25.81</v>
      </c>
    </row>
    <row r="143" spans="1:12">
      <c r="A143" t="s">
        <v>104</v>
      </c>
      <c r="B143">
        <v>482757</v>
      </c>
      <c r="C143" s="2" t="str">
        <f>"MWOK16"</f>
        <v>MWOK16</v>
      </c>
      <c r="D143" t="s">
        <v>150</v>
      </c>
      <c r="E143" t="s">
        <v>4</v>
      </c>
      <c r="F143">
        <v>40</v>
      </c>
      <c r="G143">
        <v>8</v>
      </c>
      <c r="H143" t="s">
        <v>151</v>
      </c>
      <c r="I143" s="1">
        <v>19.05</v>
      </c>
      <c r="J143" s="1">
        <v>18.09</v>
      </c>
      <c r="K143" t="s">
        <v>21</v>
      </c>
      <c r="L143" s="1">
        <v>19.899999999999999</v>
      </c>
    </row>
    <row r="144" spans="1:12">
      <c r="A144" t="s">
        <v>104</v>
      </c>
      <c r="B144">
        <v>523240</v>
      </c>
      <c r="C144" s="2" t="str">
        <f>"P1225"</f>
        <v>P1225</v>
      </c>
      <c r="D144" t="s">
        <v>152</v>
      </c>
      <c r="E144" t="s">
        <v>4</v>
      </c>
      <c r="F144">
        <v>12</v>
      </c>
      <c r="G144">
        <v>3</v>
      </c>
      <c r="H144" t="s">
        <v>153</v>
      </c>
      <c r="I144" s="1">
        <v>9.67</v>
      </c>
      <c r="J144" s="1">
        <v>9.18</v>
      </c>
      <c r="K144" t="s">
        <v>21</v>
      </c>
      <c r="L144" s="1">
        <v>10.1</v>
      </c>
    </row>
    <row r="145" spans="1:12">
      <c r="A145" t="s">
        <v>104</v>
      </c>
      <c r="B145">
        <v>523226</v>
      </c>
      <c r="C145" s="2" t="str">
        <f>"P1235"</f>
        <v>P1235</v>
      </c>
      <c r="D145" t="s">
        <v>154</v>
      </c>
      <c r="E145" t="s">
        <v>4</v>
      </c>
      <c r="F145">
        <v>13</v>
      </c>
      <c r="G145">
        <v>3.25</v>
      </c>
      <c r="H145" t="s">
        <v>153</v>
      </c>
      <c r="I145" s="1">
        <v>10.97</v>
      </c>
      <c r="J145" s="1">
        <v>10.42</v>
      </c>
      <c r="K145" t="s">
        <v>21</v>
      </c>
      <c r="L145" s="1">
        <v>11.46</v>
      </c>
    </row>
    <row r="146" spans="1:12">
      <c r="A146" t="s">
        <v>104</v>
      </c>
      <c r="B146">
        <v>523227</v>
      </c>
      <c r="C146" s="2" t="str">
        <f>"P1252"</f>
        <v>P1252</v>
      </c>
      <c r="D146" t="s">
        <v>155</v>
      </c>
      <c r="E146" t="s">
        <v>4</v>
      </c>
      <c r="F146">
        <v>29</v>
      </c>
      <c r="G146">
        <v>7.25</v>
      </c>
      <c r="H146" t="s">
        <v>153</v>
      </c>
      <c r="I146" s="1">
        <v>12.17</v>
      </c>
      <c r="J146" s="1">
        <v>11.57</v>
      </c>
      <c r="K146" t="s">
        <v>21</v>
      </c>
      <c r="L146" s="1">
        <v>12.72</v>
      </c>
    </row>
    <row r="147" spans="1:12">
      <c r="A147" t="s">
        <v>104</v>
      </c>
      <c r="B147">
        <v>523229</v>
      </c>
      <c r="C147" s="2" t="str">
        <f>"P1438"</f>
        <v>P1438</v>
      </c>
      <c r="D147" t="s">
        <v>156</v>
      </c>
      <c r="E147" t="s">
        <v>4</v>
      </c>
      <c r="F147">
        <v>13</v>
      </c>
      <c r="G147">
        <v>3.25</v>
      </c>
      <c r="H147" t="s">
        <v>153</v>
      </c>
      <c r="I147" s="1">
        <v>14.55</v>
      </c>
      <c r="J147" s="1">
        <v>13.83</v>
      </c>
      <c r="K147" t="s">
        <v>21</v>
      </c>
      <c r="L147" s="1">
        <v>15.21</v>
      </c>
    </row>
    <row r="148" spans="1:12">
      <c r="A148" t="s">
        <v>104</v>
      </c>
      <c r="B148">
        <v>523228</v>
      </c>
      <c r="C148" s="2" t="str">
        <f>"P1618S"</f>
        <v>P1618S</v>
      </c>
      <c r="D148" t="s">
        <v>157</v>
      </c>
      <c r="E148" t="s">
        <v>4</v>
      </c>
      <c r="F148">
        <v>14</v>
      </c>
      <c r="G148">
        <v>3.5</v>
      </c>
      <c r="H148" t="s">
        <v>153</v>
      </c>
      <c r="I148" s="1">
        <v>17.73</v>
      </c>
      <c r="J148" s="1">
        <v>16.850000000000001</v>
      </c>
      <c r="K148" t="s">
        <v>21</v>
      </c>
      <c r="L148" s="1">
        <v>18.53</v>
      </c>
    </row>
    <row r="149" spans="1:12">
      <c r="A149" t="s">
        <v>104</v>
      </c>
      <c r="B149">
        <v>482763</v>
      </c>
      <c r="C149" s="2" t="str">
        <f>"PB10"</f>
        <v>PB10</v>
      </c>
      <c r="D149" t="s">
        <v>158</v>
      </c>
      <c r="E149" t="s">
        <v>4</v>
      </c>
      <c r="F149">
        <v>0.5</v>
      </c>
      <c r="H149" t="s">
        <v>5</v>
      </c>
      <c r="I149" s="1">
        <v>5.1100000000000003</v>
      </c>
      <c r="J149" s="1">
        <v>4.8499999999999996</v>
      </c>
      <c r="K149" t="s">
        <v>6</v>
      </c>
    </row>
    <row r="150" spans="1:12">
      <c r="A150" t="s">
        <v>104</v>
      </c>
      <c r="B150">
        <v>482764</v>
      </c>
      <c r="C150" s="2" t="str">
        <f>"PBE3020"</f>
        <v>PBE3020</v>
      </c>
      <c r="D150" t="s">
        <v>159</v>
      </c>
      <c r="E150" t="s">
        <v>4</v>
      </c>
      <c r="F150">
        <v>12</v>
      </c>
      <c r="G150">
        <v>1</v>
      </c>
      <c r="H150" t="s">
        <v>106</v>
      </c>
      <c r="I150" s="1">
        <v>6.53</v>
      </c>
      <c r="J150" s="1">
        <v>6.2</v>
      </c>
      <c r="K150" t="s">
        <v>21</v>
      </c>
      <c r="L150" s="1">
        <v>6.82</v>
      </c>
    </row>
    <row r="151" spans="1:12">
      <c r="A151" t="s">
        <v>104</v>
      </c>
      <c r="B151">
        <v>482765</v>
      </c>
      <c r="C151" s="2" t="str">
        <f>"PBE3030"</f>
        <v>PBE3030</v>
      </c>
      <c r="D151" t="s">
        <v>160</v>
      </c>
      <c r="E151" t="s">
        <v>4</v>
      </c>
      <c r="F151">
        <v>12</v>
      </c>
      <c r="G151">
        <v>1</v>
      </c>
      <c r="H151" t="s">
        <v>106</v>
      </c>
      <c r="I151" s="1">
        <v>7.18</v>
      </c>
      <c r="J151" s="1">
        <v>6.82</v>
      </c>
      <c r="K151" t="s">
        <v>21</v>
      </c>
      <c r="L151" s="1">
        <v>7.5</v>
      </c>
    </row>
    <row r="152" spans="1:12">
      <c r="A152" t="s">
        <v>104</v>
      </c>
      <c r="B152">
        <v>482766</v>
      </c>
      <c r="C152" s="2" t="str">
        <f>"PBE3040"</f>
        <v>PBE3040</v>
      </c>
      <c r="D152" t="s">
        <v>161</v>
      </c>
      <c r="E152" t="s">
        <v>4</v>
      </c>
      <c r="F152">
        <v>12</v>
      </c>
      <c r="G152">
        <v>1</v>
      </c>
      <c r="H152" t="s">
        <v>106</v>
      </c>
      <c r="I152" s="1">
        <v>8.6999999999999993</v>
      </c>
      <c r="J152" s="1">
        <v>8.26</v>
      </c>
      <c r="K152" t="s">
        <v>21</v>
      </c>
      <c r="L152" s="1">
        <v>9.09</v>
      </c>
    </row>
    <row r="153" spans="1:12">
      <c r="A153" t="s">
        <v>104</v>
      </c>
      <c r="B153">
        <v>482767</v>
      </c>
      <c r="C153" s="2" t="str">
        <f>"PBE3060"</f>
        <v>PBE3060</v>
      </c>
      <c r="D153" t="s">
        <v>162</v>
      </c>
      <c r="E153" t="s">
        <v>4</v>
      </c>
      <c r="F153">
        <v>12</v>
      </c>
      <c r="G153">
        <v>1</v>
      </c>
      <c r="H153" t="s">
        <v>106</v>
      </c>
      <c r="I153" s="1">
        <v>9.8000000000000007</v>
      </c>
      <c r="J153" s="1">
        <v>9.31</v>
      </c>
      <c r="K153" t="s">
        <v>21</v>
      </c>
      <c r="L153" s="1">
        <v>10.24</v>
      </c>
    </row>
    <row r="154" spans="1:12">
      <c r="A154" t="s">
        <v>104</v>
      </c>
      <c r="B154">
        <v>482768</v>
      </c>
      <c r="C154" s="2" t="str">
        <f>"PBE3110"</f>
        <v>PBE3110</v>
      </c>
      <c r="D154" t="s">
        <v>163</v>
      </c>
      <c r="E154" t="s">
        <v>4</v>
      </c>
      <c r="F154">
        <v>12</v>
      </c>
      <c r="G154">
        <v>1</v>
      </c>
      <c r="H154" t="s">
        <v>106</v>
      </c>
      <c r="I154" s="1">
        <v>6.3</v>
      </c>
      <c r="J154" s="1">
        <v>5.98</v>
      </c>
      <c r="K154" t="s">
        <v>21</v>
      </c>
      <c r="L154" s="1">
        <v>6.58</v>
      </c>
    </row>
    <row r="155" spans="1:12">
      <c r="A155" t="s">
        <v>104</v>
      </c>
      <c r="B155">
        <v>482772</v>
      </c>
      <c r="C155" s="2" t="str">
        <f>"PD10"</f>
        <v>PD10</v>
      </c>
      <c r="D155" t="s">
        <v>164</v>
      </c>
      <c r="E155" t="s">
        <v>4</v>
      </c>
      <c r="F155">
        <v>3.96</v>
      </c>
      <c r="G155">
        <v>0.33</v>
      </c>
      <c r="H155" t="s">
        <v>106</v>
      </c>
      <c r="I155" s="1">
        <v>3.82</v>
      </c>
      <c r="J155" s="1">
        <v>3.62</v>
      </c>
      <c r="K155" t="s">
        <v>21</v>
      </c>
      <c r="L155" s="1">
        <v>3.99</v>
      </c>
    </row>
    <row r="156" spans="1:12">
      <c r="A156" t="s">
        <v>104</v>
      </c>
      <c r="B156">
        <v>482774</v>
      </c>
      <c r="C156" s="2" t="str">
        <f>"PD12"</f>
        <v>PD12</v>
      </c>
      <c r="D156" t="s">
        <v>165</v>
      </c>
      <c r="E156" t="s">
        <v>4</v>
      </c>
      <c r="F156">
        <v>6</v>
      </c>
      <c r="G156">
        <v>0.5</v>
      </c>
      <c r="H156" t="s">
        <v>106</v>
      </c>
      <c r="I156" s="1">
        <v>4.8099999999999996</v>
      </c>
      <c r="J156" s="1">
        <v>4.5599999999999996</v>
      </c>
      <c r="K156" t="s">
        <v>21</v>
      </c>
      <c r="L156" s="1">
        <v>5.0199999999999996</v>
      </c>
    </row>
    <row r="157" spans="1:12">
      <c r="A157" t="s">
        <v>104</v>
      </c>
      <c r="B157">
        <v>482776</v>
      </c>
      <c r="C157" s="2" t="str">
        <f>"PD14"</f>
        <v>PD14</v>
      </c>
      <c r="D157" t="s">
        <v>166</v>
      </c>
      <c r="E157" t="s">
        <v>4</v>
      </c>
      <c r="F157">
        <v>7.56</v>
      </c>
      <c r="G157">
        <v>0.63</v>
      </c>
      <c r="H157" t="s">
        <v>106</v>
      </c>
      <c r="I157" s="1">
        <v>5.67</v>
      </c>
      <c r="J157" s="1">
        <v>5.39</v>
      </c>
      <c r="K157" t="s">
        <v>21</v>
      </c>
      <c r="L157" s="1">
        <v>5.93</v>
      </c>
    </row>
    <row r="158" spans="1:12">
      <c r="A158" t="s">
        <v>104</v>
      </c>
      <c r="B158">
        <v>482778</v>
      </c>
      <c r="C158" s="2" t="str">
        <f>"PD16"</f>
        <v>PD16</v>
      </c>
      <c r="D158" t="s">
        <v>167</v>
      </c>
      <c r="E158" t="s">
        <v>4</v>
      </c>
      <c r="F158">
        <v>9.7200000000000006</v>
      </c>
      <c r="G158">
        <v>0.81</v>
      </c>
      <c r="H158" t="s">
        <v>106</v>
      </c>
      <c r="I158" s="1">
        <v>6.94</v>
      </c>
      <c r="J158" s="1">
        <v>6.59</v>
      </c>
      <c r="K158" t="s">
        <v>21</v>
      </c>
      <c r="L158" s="1">
        <v>7.25</v>
      </c>
    </row>
    <row r="159" spans="1:12">
      <c r="A159" t="s">
        <v>104</v>
      </c>
      <c r="B159">
        <v>482808</v>
      </c>
      <c r="C159" s="2" t="str">
        <f>"PD18"</f>
        <v>PD18</v>
      </c>
      <c r="D159" t="s">
        <v>168</v>
      </c>
      <c r="E159" t="s">
        <v>4</v>
      </c>
      <c r="F159">
        <v>12</v>
      </c>
      <c r="G159">
        <v>1</v>
      </c>
      <c r="H159" t="s">
        <v>106</v>
      </c>
      <c r="I159" s="1">
        <v>8.42</v>
      </c>
      <c r="J159" s="1">
        <v>8</v>
      </c>
      <c r="K159" t="s">
        <v>21</v>
      </c>
      <c r="L159" s="1">
        <v>8.8000000000000007</v>
      </c>
    </row>
    <row r="160" spans="1:12">
      <c r="A160" t="s">
        <v>104</v>
      </c>
      <c r="B160">
        <v>482809</v>
      </c>
      <c r="C160" s="2" t="str">
        <f>"PKO16"</f>
        <v>PKO16</v>
      </c>
      <c r="D160" t="s">
        <v>169</v>
      </c>
      <c r="E160" t="s">
        <v>4</v>
      </c>
      <c r="F160">
        <v>1</v>
      </c>
      <c r="H160" t="s">
        <v>5</v>
      </c>
      <c r="I160" s="1">
        <v>42.92</v>
      </c>
      <c r="J160" s="1">
        <v>40.770000000000003</v>
      </c>
      <c r="K160" t="s">
        <v>6</v>
      </c>
    </row>
    <row r="161" spans="1:12">
      <c r="A161" t="s">
        <v>104</v>
      </c>
      <c r="B161">
        <v>482810</v>
      </c>
      <c r="C161" s="2" t="str">
        <f>"PKR20"</f>
        <v>PKR20</v>
      </c>
      <c r="D161" t="s">
        <v>170</v>
      </c>
      <c r="E161" t="s">
        <v>4</v>
      </c>
      <c r="F161">
        <v>1</v>
      </c>
      <c r="H161" t="s">
        <v>5</v>
      </c>
      <c r="I161" s="1">
        <v>43.02</v>
      </c>
      <c r="J161" s="1">
        <v>40.869999999999997</v>
      </c>
      <c r="K161" t="s">
        <v>6</v>
      </c>
    </row>
    <row r="162" spans="1:12">
      <c r="A162" t="s">
        <v>104</v>
      </c>
      <c r="B162">
        <v>484774</v>
      </c>
      <c r="C162" s="2" t="str">
        <f>"PMT8"</f>
        <v>PMT8</v>
      </c>
      <c r="D162" t="s">
        <v>171</v>
      </c>
      <c r="E162" t="s">
        <v>4</v>
      </c>
      <c r="F162">
        <v>3</v>
      </c>
      <c r="G162">
        <v>0.25</v>
      </c>
      <c r="H162" t="s">
        <v>106</v>
      </c>
      <c r="I162" s="1">
        <v>3.51</v>
      </c>
      <c r="J162" s="1">
        <v>3.33</v>
      </c>
      <c r="K162" t="s">
        <v>21</v>
      </c>
      <c r="L162" s="1">
        <v>3.67</v>
      </c>
    </row>
    <row r="163" spans="1:12">
      <c r="A163" t="s">
        <v>104</v>
      </c>
      <c r="B163">
        <v>482811</v>
      </c>
      <c r="C163" s="2" t="str">
        <f>"POP1"</f>
        <v>POP1</v>
      </c>
      <c r="D163" t="s">
        <v>172</v>
      </c>
      <c r="E163" t="s">
        <v>4</v>
      </c>
      <c r="F163">
        <v>6</v>
      </c>
      <c r="G163">
        <v>0.5</v>
      </c>
      <c r="H163" t="s">
        <v>106</v>
      </c>
      <c r="I163" s="1">
        <v>9.19</v>
      </c>
      <c r="J163" s="1">
        <v>8.73</v>
      </c>
      <c r="K163" t="s">
        <v>21</v>
      </c>
      <c r="L163" s="1">
        <v>9.6</v>
      </c>
    </row>
    <row r="164" spans="1:12">
      <c r="A164" t="s">
        <v>104</v>
      </c>
      <c r="B164">
        <v>482812</v>
      </c>
      <c r="C164" s="2" t="str">
        <f>"POP43"</f>
        <v>POP43</v>
      </c>
      <c r="D164" t="s">
        <v>173</v>
      </c>
      <c r="E164" t="s">
        <v>4</v>
      </c>
      <c r="F164">
        <v>6</v>
      </c>
      <c r="G164">
        <v>0.5</v>
      </c>
      <c r="H164" t="s">
        <v>106</v>
      </c>
      <c r="I164" s="1">
        <v>7.7</v>
      </c>
      <c r="J164" s="1">
        <v>7.31</v>
      </c>
      <c r="K164" t="s">
        <v>21</v>
      </c>
      <c r="L164" s="1">
        <v>8.0399999999999991</v>
      </c>
    </row>
    <row r="165" spans="1:12">
      <c r="A165" t="s">
        <v>104</v>
      </c>
      <c r="B165">
        <v>482813</v>
      </c>
      <c r="C165" s="2" t="str">
        <f>"PP100"</f>
        <v>PP100</v>
      </c>
      <c r="D165" t="s">
        <v>174</v>
      </c>
      <c r="E165" t="s">
        <v>4</v>
      </c>
      <c r="F165">
        <v>2.8</v>
      </c>
      <c r="G165">
        <v>1.4</v>
      </c>
      <c r="H165" t="s">
        <v>175</v>
      </c>
      <c r="I165" s="1">
        <v>10.47</v>
      </c>
      <c r="J165" s="1">
        <v>9.94</v>
      </c>
      <c r="K165" t="s">
        <v>21</v>
      </c>
      <c r="L165" s="1">
        <v>10.94</v>
      </c>
    </row>
    <row r="166" spans="1:12">
      <c r="A166" t="s">
        <v>104</v>
      </c>
      <c r="B166">
        <v>482815</v>
      </c>
      <c r="C166" s="2" t="str">
        <f>"PS20"</f>
        <v>PS20</v>
      </c>
      <c r="D166" t="s">
        <v>176</v>
      </c>
      <c r="E166" t="s">
        <v>4</v>
      </c>
      <c r="F166">
        <v>15</v>
      </c>
      <c r="G166">
        <v>1.25</v>
      </c>
      <c r="H166" t="s">
        <v>106</v>
      </c>
      <c r="I166" s="1">
        <v>7.32</v>
      </c>
      <c r="J166" s="1">
        <v>6.96</v>
      </c>
      <c r="K166" t="s">
        <v>21</v>
      </c>
      <c r="L166" s="1">
        <v>7.65</v>
      </c>
    </row>
    <row r="167" spans="1:12">
      <c r="A167" t="s">
        <v>104</v>
      </c>
      <c r="B167">
        <v>482816</v>
      </c>
      <c r="C167" s="2" t="str">
        <f>"PS24"</f>
        <v>PS24</v>
      </c>
      <c r="D167" t="s">
        <v>177</v>
      </c>
      <c r="E167" t="s">
        <v>4</v>
      </c>
      <c r="F167">
        <v>9</v>
      </c>
      <c r="G167">
        <v>0.75</v>
      </c>
      <c r="H167" t="s">
        <v>106</v>
      </c>
      <c r="I167" s="1">
        <v>15.27</v>
      </c>
      <c r="J167" s="1">
        <v>14.51</v>
      </c>
      <c r="K167" t="s">
        <v>21</v>
      </c>
      <c r="L167" s="1">
        <v>15.96</v>
      </c>
    </row>
    <row r="168" spans="1:12">
      <c r="A168" t="s">
        <v>104</v>
      </c>
      <c r="B168">
        <v>482817</v>
      </c>
      <c r="C168" s="2" t="str">
        <f>"PS28"</f>
        <v>PS28</v>
      </c>
      <c r="D168" t="s">
        <v>178</v>
      </c>
      <c r="E168" t="s">
        <v>4</v>
      </c>
      <c r="F168">
        <v>12</v>
      </c>
      <c r="G168">
        <v>1</v>
      </c>
      <c r="H168" t="s">
        <v>106</v>
      </c>
      <c r="I168" s="1">
        <v>27.77</v>
      </c>
      <c r="J168" s="1">
        <v>26.38</v>
      </c>
      <c r="K168" t="s">
        <v>21</v>
      </c>
      <c r="L168" s="1">
        <v>29.01</v>
      </c>
    </row>
    <row r="169" spans="1:12">
      <c r="A169" t="s">
        <v>104</v>
      </c>
      <c r="B169">
        <v>482818</v>
      </c>
      <c r="C169" s="2" t="str">
        <f>"PS6"</f>
        <v>PS6</v>
      </c>
      <c r="D169" t="s">
        <v>179</v>
      </c>
      <c r="E169" t="s">
        <v>4</v>
      </c>
      <c r="F169">
        <v>1.56</v>
      </c>
      <c r="G169">
        <v>0.13</v>
      </c>
      <c r="H169" t="s">
        <v>106</v>
      </c>
      <c r="I169" s="1">
        <v>2.64</v>
      </c>
      <c r="J169" s="1">
        <v>2.5</v>
      </c>
      <c r="K169" t="s">
        <v>21</v>
      </c>
      <c r="L169" s="1">
        <v>2.75</v>
      </c>
    </row>
    <row r="170" spans="1:12">
      <c r="A170" t="s">
        <v>104</v>
      </c>
      <c r="B170">
        <v>482820</v>
      </c>
      <c r="C170" s="2" t="str">
        <f>"PS7"</f>
        <v>PS7</v>
      </c>
      <c r="D170" t="s">
        <v>180</v>
      </c>
      <c r="E170" t="s">
        <v>4</v>
      </c>
      <c r="F170">
        <v>1.56</v>
      </c>
      <c r="G170">
        <v>0.13</v>
      </c>
      <c r="H170" t="s">
        <v>106</v>
      </c>
      <c r="I170" s="1">
        <v>2.73</v>
      </c>
      <c r="J170" s="1">
        <v>2.59</v>
      </c>
      <c r="K170" t="s">
        <v>21</v>
      </c>
      <c r="L170" s="1">
        <v>2.85</v>
      </c>
    </row>
    <row r="171" spans="1:12">
      <c r="A171" t="s">
        <v>104</v>
      </c>
      <c r="B171">
        <v>482821</v>
      </c>
      <c r="C171" s="2" t="str">
        <f>"PSR10"</f>
        <v>PSR10</v>
      </c>
      <c r="D171" t="s">
        <v>181</v>
      </c>
      <c r="E171" t="s">
        <v>4</v>
      </c>
      <c r="F171">
        <v>7</v>
      </c>
      <c r="G171">
        <v>3.5</v>
      </c>
      <c r="H171" t="s">
        <v>175</v>
      </c>
      <c r="I171" s="1">
        <v>28.84</v>
      </c>
      <c r="J171" s="1">
        <v>27.4</v>
      </c>
      <c r="K171" t="s">
        <v>21</v>
      </c>
      <c r="L171" s="1">
        <v>30.14</v>
      </c>
    </row>
    <row r="172" spans="1:12">
      <c r="A172" t="s">
        <v>104</v>
      </c>
      <c r="B172">
        <v>482822</v>
      </c>
      <c r="C172" s="2" t="str">
        <f>"PTR11"</f>
        <v>PTR11</v>
      </c>
      <c r="D172" t="s">
        <v>182</v>
      </c>
      <c r="E172" t="s">
        <v>4</v>
      </c>
      <c r="F172">
        <v>2.5</v>
      </c>
      <c r="G172">
        <v>1.25</v>
      </c>
      <c r="H172" t="s">
        <v>175</v>
      </c>
      <c r="I172" s="1">
        <v>38.42</v>
      </c>
      <c r="J172" s="1">
        <v>36.49</v>
      </c>
      <c r="K172" t="s">
        <v>21</v>
      </c>
      <c r="L172" s="1">
        <v>40.14</v>
      </c>
    </row>
    <row r="173" spans="1:12">
      <c r="A173" t="s">
        <v>104</v>
      </c>
      <c r="B173">
        <v>484786</v>
      </c>
      <c r="C173" s="2" t="str">
        <f>"PTSL893"</f>
        <v>PTSL893</v>
      </c>
      <c r="D173" t="s">
        <v>183</v>
      </c>
      <c r="E173" t="s">
        <v>4</v>
      </c>
      <c r="F173">
        <v>0.39</v>
      </c>
      <c r="H173" t="s">
        <v>5</v>
      </c>
      <c r="I173" s="1">
        <v>12.94</v>
      </c>
      <c r="J173" s="1">
        <v>12.29</v>
      </c>
      <c r="K173" t="s">
        <v>6</v>
      </c>
    </row>
    <row r="174" spans="1:12">
      <c r="A174" t="s">
        <v>104</v>
      </c>
      <c r="B174">
        <v>484787</v>
      </c>
      <c r="C174" s="2" t="str">
        <f>"PTSL903"</f>
        <v>PTSL903</v>
      </c>
      <c r="D174" t="s">
        <v>183</v>
      </c>
      <c r="E174" t="s">
        <v>4</v>
      </c>
      <c r="F174">
        <v>0.39</v>
      </c>
      <c r="H174" t="s">
        <v>5</v>
      </c>
      <c r="I174" s="1">
        <v>12.94</v>
      </c>
      <c r="J174" s="1">
        <v>12.29</v>
      </c>
      <c r="K174" t="s">
        <v>6</v>
      </c>
    </row>
    <row r="175" spans="1:12">
      <c r="A175" t="s">
        <v>104</v>
      </c>
      <c r="B175">
        <v>482826</v>
      </c>
      <c r="C175" s="2" t="str">
        <f>"SD10"</f>
        <v>SD10</v>
      </c>
      <c r="D175" t="s">
        <v>184</v>
      </c>
      <c r="E175" t="s">
        <v>4</v>
      </c>
      <c r="F175">
        <v>3.72</v>
      </c>
      <c r="G175">
        <v>0.31</v>
      </c>
      <c r="H175" t="s">
        <v>106</v>
      </c>
      <c r="I175" s="1">
        <v>1.33</v>
      </c>
      <c r="J175" s="1">
        <v>1.27</v>
      </c>
      <c r="K175" t="s">
        <v>21</v>
      </c>
      <c r="L175" s="1">
        <v>1.39</v>
      </c>
    </row>
    <row r="176" spans="1:12">
      <c r="A176" t="s">
        <v>104</v>
      </c>
      <c r="B176">
        <v>482827</v>
      </c>
      <c r="C176" s="2" t="str">
        <f>"SF1025"</f>
        <v>SF1025</v>
      </c>
      <c r="D176" t="s">
        <v>185</v>
      </c>
      <c r="E176" t="s">
        <v>4</v>
      </c>
      <c r="F176">
        <v>2.2799999999999998</v>
      </c>
      <c r="G176">
        <v>0.38</v>
      </c>
      <c r="H176" t="s">
        <v>20</v>
      </c>
      <c r="I176" s="1">
        <v>12.11</v>
      </c>
      <c r="J176" s="1">
        <v>11.5</v>
      </c>
      <c r="K176" t="s">
        <v>21</v>
      </c>
      <c r="L176" s="1">
        <v>12.65</v>
      </c>
    </row>
    <row r="177" spans="1:12">
      <c r="A177" t="s">
        <v>104</v>
      </c>
      <c r="B177">
        <v>482828</v>
      </c>
      <c r="C177" s="2" t="str">
        <f>"SF875"</f>
        <v>SF875</v>
      </c>
      <c r="D177" t="s">
        <v>186</v>
      </c>
      <c r="E177" t="s">
        <v>4</v>
      </c>
      <c r="F177">
        <v>1.86</v>
      </c>
      <c r="G177">
        <v>0.31</v>
      </c>
      <c r="H177" t="s">
        <v>20</v>
      </c>
      <c r="I177" s="1">
        <v>10.050000000000001</v>
      </c>
      <c r="J177" s="1">
        <v>9.5500000000000007</v>
      </c>
      <c r="K177" t="s">
        <v>21</v>
      </c>
      <c r="L177" s="1">
        <v>10.5</v>
      </c>
    </row>
    <row r="178" spans="1:12">
      <c r="A178" t="s">
        <v>104</v>
      </c>
      <c r="B178">
        <v>482829</v>
      </c>
      <c r="C178" s="2" t="str">
        <f>"SF95"</f>
        <v>SF95</v>
      </c>
      <c r="D178" t="s">
        <v>187</v>
      </c>
      <c r="E178" t="s">
        <v>4</v>
      </c>
      <c r="F178">
        <v>2.2799999999999998</v>
      </c>
      <c r="G178">
        <v>0.38</v>
      </c>
      <c r="H178" t="s">
        <v>20</v>
      </c>
      <c r="I178" s="1">
        <v>11.03</v>
      </c>
      <c r="J178" s="1">
        <v>10.48</v>
      </c>
      <c r="K178" t="s">
        <v>21</v>
      </c>
      <c r="L178" s="1">
        <v>11.53</v>
      </c>
    </row>
    <row r="179" spans="1:12">
      <c r="A179" t="s">
        <v>104</v>
      </c>
      <c r="B179">
        <v>482830</v>
      </c>
      <c r="C179" s="2" t="str">
        <f>"SPF4262"</f>
        <v>SPF4262</v>
      </c>
      <c r="D179" t="s">
        <v>188</v>
      </c>
      <c r="E179" t="s">
        <v>4</v>
      </c>
      <c r="F179">
        <v>1.5</v>
      </c>
      <c r="G179">
        <v>0.5</v>
      </c>
      <c r="H179" t="s">
        <v>189</v>
      </c>
      <c r="I179" s="1">
        <v>35.130000000000003</v>
      </c>
      <c r="J179" s="1">
        <v>33.369999999999997</v>
      </c>
      <c r="K179" t="s">
        <v>21</v>
      </c>
      <c r="L179" s="1">
        <v>36.71</v>
      </c>
    </row>
    <row r="180" spans="1:12">
      <c r="A180" t="s">
        <v>104</v>
      </c>
      <c r="B180">
        <v>482832</v>
      </c>
      <c r="C180" s="2" t="str">
        <f>"SPH2295"</f>
        <v>SPH2295</v>
      </c>
      <c r="D180" t="s">
        <v>190</v>
      </c>
      <c r="E180" t="s">
        <v>4</v>
      </c>
      <c r="F180">
        <v>1.1399999999999999</v>
      </c>
      <c r="G180">
        <v>0.38</v>
      </c>
      <c r="H180" t="s">
        <v>189</v>
      </c>
      <c r="I180" s="1">
        <v>25.6</v>
      </c>
      <c r="J180" s="1">
        <v>24.31</v>
      </c>
      <c r="K180" t="s">
        <v>21</v>
      </c>
      <c r="L180" s="1">
        <v>26.74</v>
      </c>
    </row>
    <row r="181" spans="1:12">
      <c r="A181" t="s">
        <v>104</v>
      </c>
      <c r="B181">
        <v>482834</v>
      </c>
      <c r="C181" s="2" t="str">
        <f>"SRD6"</f>
        <v>SRD6</v>
      </c>
      <c r="D181" t="s">
        <v>191</v>
      </c>
      <c r="E181" t="s">
        <v>4</v>
      </c>
      <c r="F181">
        <v>4.5</v>
      </c>
      <c r="G181">
        <v>0.75</v>
      </c>
      <c r="H181" t="s">
        <v>20</v>
      </c>
      <c r="I181" s="1">
        <v>3</v>
      </c>
      <c r="J181" s="1">
        <v>2.85</v>
      </c>
      <c r="K181" t="s">
        <v>21</v>
      </c>
      <c r="L181" s="1">
        <v>3.14</v>
      </c>
    </row>
    <row r="182" spans="1:12">
      <c r="A182" t="s">
        <v>104</v>
      </c>
      <c r="B182">
        <v>482835</v>
      </c>
      <c r="C182" s="2" t="str">
        <f>"SRD8"</f>
        <v>SRD8</v>
      </c>
      <c r="D182" t="s">
        <v>192</v>
      </c>
      <c r="E182" t="s">
        <v>4</v>
      </c>
      <c r="F182">
        <v>6</v>
      </c>
      <c r="G182">
        <v>1</v>
      </c>
      <c r="H182" t="s">
        <v>20</v>
      </c>
      <c r="I182" s="1">
        <v>3.98</v>
      </c>
      <c r="J182" s="1">
        <v>3.79</v>
      </c>
      <c r="K182" t="s">
        <v>21</v>
      </c>
      <c r="L182" s="1">
        <v>4.16</v>
      </c>
    </row>
    <row r="183" spans="1:12">
      <c r="A183" t="s">
        <v>104</v>
      </c>
      <c r="B183">
        <v>482837</v>
      </c>
      <c r="C183" s="2" t="str">
        <f>"SRP12X15"</f>
        <v>SRP12X15</v>
      </c>
      <c r="D183" t="s">
        <v>193</v>
      </c>
      <c r="E183" t="s">
        <v>4</v>
      </c>
      <c r="F183">
        <v>18</v>
      </c>
      <c r="G183">
        <v>1.5</v>
      </c>
      <c r="H183" t="s">
        <v>106</v>
      </c>
      <c r="I183" s="1">
        <v>18.600000000000001</v>
      </c>
      <c r="J183" s="1">
        <v>17.670000000000002</v>
      </c>
      <c r="K183" t="s">
        <v>21</v>
      </c>
      <c r="L183" s="1">
        <v>19.440000000000001</v>
      </c>
    </row>
    <row r="184" spans="1:12">
      <c r="A184" t="s">
        <v>104</v>
      </c>
      <c r="B184">
        <v>482839</v>
      </c>
      <c r="C184" s="2" t="str">
        <f>"SRP14X15"</f>
        <v>SRP14X15</v>
      </c>
      <c r="D184" t="s">
        <v>194</v>
      </c>
      <c r="E184" t="s">
        <v>4</v>
      </c>
      <c r="F184">
        <v>24</v>
      </c>
      <c r="G184">
        <v>2</v>
      </c>
      <c r="H184" t="s">
        <v>106</v>
      </c>
      <c r="I184" s="1">
        <v>21.62</v>
      </c>
      <c r="J184" s="1">
        <v>20.54</v>
      </c>
      <c r="K184" t="s">
        <v>21</v>
      </c>
      <c r="L184" s="1">
        <v>22.59</v>
      </c>
    </row>
    <row r="185" spans="1:12">
      <c r="A185" t="s">
        <v>104</v>
      </c>
      <c r="B185">
        <v>482847</v>
      </c>
      <c r="C185" s="2" t="str">
        <f>"SRP16X15"</f>
        <v>SRP16X15</v>
      </c>
      <c r="D185" t="s">
        <v>195</v>
      </c>
      <c r="E185" t="s">
        <v>4</v>
      </c>
      <c r="F185">
        <v>30</v>
      </c>
      <c r="G185">
        <v>2.5</v>
      </c>
      <c r="H185" t="s">
        <v>106</v>
      </c>
      <c r="I185" s="1">
        <v>27.83</v>
      </c>
      <c r="J185" s="1">
        <v>26.44</v>
      </c>
      <c r="K185" t="s">
        <v>21</v>
      </c>
      <c r="L185" s="1">
        <v>29.08</v>
      </c>
    </row>
    <row r="186" spans="1:12">
      <c r="A186" t="s">
        <v>104</v>
      </c>
      <c r="B186">
        <v>482849</v>
      </c>
      <c r="C186" s="2" t="str">
        <f>"T10"</f>
        <v>T10</v>
      </c>
      <c r="D186" t="s">
        <v>196</v>
      </c>
      <c r="E186" t="s">
        <v>4</v>
      </c>
      <c r="F186">
        <v>4.92</v>
      </c>
      <c r="G186">
        <v>0.41</v>
      </c>
      <c r="H186" t="s">
        <v>106</v>
      </c>
      <c r="I186" s="1">
        <v>3.2</v>
      </c>
      <c r="J186" s="1">
        <v>3.04</v>
      </c>
      <c r="K186" t="s">
        <v>21</v>
      </c>
      <c r="L186" s="1">
        <v>3.35</v>
      </c>
    </row>
    <row r="187" spans="1:12">
      <c r="A187" t="s">
        <v>104</v>
      </c>
      <c r="B187">
        <v>482850</v>
      </c>
      <c r="C187" s="2" t="str">
        <f>"T11"</f>
        <v>T11</v>
      </c>
      <c r="D187" t="s">
        <v>197</v>
      </c>
      <c r="E187" t="s">
        <v>4</v>
      </c>
      <c r="F187">
        <v>5.52</v>
      </c>
      <c r="G187">
        <v>0.46</v>
      </c>
      <c r="H187" t="s">
        <v>106</v>
      </c>
      <c r="I187" s="1">
        <v>3.77</v>
      </c>
      <c r="J187" s="1">
        <v>3.58</v>
      </c>
      <c r="K187" t="s">
        <v>21</v>
      </c>
      <c r="L187" s="1">
        <v>3.93</v>
      </c>
    </row>
    <row r="188" spans="1:12">
      <c r="A188" t="s">
        <v>104</v>
      </c>
      <c r="B188">
        <v>482851</v>
      </c>
      <c r="C188" s="2" t="str">
        <f>"T12"</f>
        <v>T12</v>
      </c>
      <c r="D188" t="s">
        <v>198</v>
      </c>
      <c r="E188" t="s">
        <v>4</v>
      </c>
      <c r="F188">
        <v>6.72</v>
      </c>
      <c r="G188">
        <v>0.56000000000000005</v>
      </c>
      <c r="H188" t="s">
        <v>106</v>
      </c>
      <c r="I188" s="1">
        <v>3.98</v>
      </c>
      <c r="J188" s="1">
        <v>3.79</v>
      </c>
      <c r="K188" t="s">
        <v>21</v>
      </c>
      <c r="L188" s="1">
        <v>4.16</v>
      </c>
    </row>
    <row r="189" spans="1:12">
      <c r="A189" t="s">
        <v>104</v>
      </c>
      <c r="B189">
        <v>482852</v>
      </c>
      <c r="C189" s="2" t="str">
        <f>"T13"</f>
        <v>T13</v>
      </c>
      <c r="D189" t="s">
        <v>199</v>
      </c>
      <c r="E189" t="s">
        <v>4</v>
      </c>
      <c r="F189">
        <v>7.92</v>
      </c>
      <c r="G189">
        <v>0.66</v>
      </c>
      <c r="H189" t="s">
        <v>106</v>
      </c>
      <c r="I189" s="1">
        <v>4.32</v>
      </c>
      <c r="J189" s="1">
        <v>4.0999999999999996</v>
      </c>
      <c r="K189" t="s">
        <v>21</v>
      </c>
      <c r="L189" s="1">
        <v>4.51</v>
      </c>
    </row>
    <row r="190" spans="1:12">
      <c r="A190" t="s">
        <v>104</v>
      </c>
      <c r="B190">
        <v>482853</v>
      </c>
      <c r="C190" s="2" t="str">
        <f>"T14"</f>
        <v>T14</v>
      </c>
      <c r="D190" t="s">
        <v>200</v>
      </c>
      <c r="E190" t="s">
        <v>4</v>
      </c>
      <c r="F190">
        <v>9.36</v>
      </c>
      <c r="G190">
        <v>0.78</v>
      </c>
      <c r="H190" t="s">
        <v>106</v>
      </c>
      <c r="I190" s="1">
        <v>4.88</v>
      </c>
      <c r="J190" s="1">
        <v>4.63</v>
      </c>
      <c r="K190" t="s">
        <v>21</v>
      </c>
      <c r="L190" s="1">
        <v>5.09</v>
      </c>
    </row>
    <row r="191" spans="1:12">
      <c r="A191" t="s">
        <v>104</v>
      </c>
      <c r="B191">
        <v>482854</v>
      </c>
      <c r="C191" s="2" t="str">
        <f>"T15"</f>
        <v>T15</v>
      </c>
      <c r="D191" t="s">
        <v>201</v>
      </c>
      <c r="E191" t="s">
        <v>4</v>
      </c>
      <c r="F191">
        <v>10.32</v>
      </c>
      <c r="G191">
        <v>0.86</v>
      </c>
      <c r="H191" t="s">
        <v>106</v>
      </c>
      <c r="I191" s="1">
        <v>5.45</v>
      </c>
      <c r="J191" s="1">
        <v>5.17</v>
      </c>
      <c r="K191" t="s">
        <v>21</v>
      </c>
      <c r="L191" s="1">
        <v>5.69</v>
      </c>
    </row>
    <row r="192" spans="1:12">
      <c r="A192" t="s">
        <v>104</v>
      </c>
      <c r="B192">
        <v>482855</v>
      </c>
      <c r="C192" s="2" t="str">
        <f>"T16"</f>
        <v>T16</v>
      </c>
      <c r="D192" t="s">
        <v>202</v>
      </c>
      <c r="E192" t="s">
        <v>4</v>
      </c>
      <c r="F192">
        <v>11.64</v>
      </c>
      <c r="G192">
        <v>0.97</v>
      </c>
      <c r="H192" t="s">
        <v>106</v>
      </c>
      <c r="I192" s="1">
        <v>6.18</v>
      </c>
      <c r="J192" s="1">
        <v>5.87</v>
      </c>
      <c r="K192" t="s">
        <v>21</v>
      </c>
      <c r="L192" s="1">
        <v>6.45</v>
      </c>
    </row>
    <row r="193" spans="1:12">
      <c r="A193" t="s">
        <v>104</v>
      </c>
      <c r="B193">
        <v>482856</v>
      </c>
      <c r="C193" s="2" t="str">
        <f>"T17"</f>
        <v>T17</v>
      </c>
      <c r="D193" t="s">
        <v>203</v>
      </c>
      <c r="E193" t="s">
        <v>4</v>
      </c>
      <c r="F193">
        <v>14.4</v>
      </c>
      <c r="G193">
        <v>1.2</v>
      </c>
      <c r="H193" t="s">
        <v>106</v>
      </c>
      <c r="I193" s="1">
        <v>6.71</v>
      </c>
      <c r="J193" s="1">
        <v>6.38</v>
      </c>
      <c r="K193" t="s">
        <v>21</v>
      </c>
      <c r="L193" s="1">
        <v>7.02</v>
      </c>
    </row>
    <row r="194" spans="1:12">
      <c r="A194" t="s">
        <v>104</v>
      </c>
      <c r="B194">
        <v>482857</v>
      </c>
      <c r="C194" s="2" t="str">
        <f>"T18"</f>
        <v>T18</v>
      </c>
      <c r="D194" t="s">
        <v>204</v>
      </c>
      <c r="E194" t="s">
        <v>4</v>
      </c>
      <c r="F194">
        <v>15</v>
      </c>
      <c r="G194">
        <v>1.25</v>
      </c>
      <c r="H194" t="s">
        <v>106</v>
      </c>
      <c r="I194" s="1">
        <v>7.44</v>
      </c>
      <c r="J194" s="1">
        <v>7.07</v>
      </c>
      <c r="K194" t="s">
        <v>21</v>
      </c>
      <c r="L194" s="1">
        <v>7.78</v>
      </c>
    </row>
    <row r="195" spans="1:12">
      <c r="A195" t="s">
        <v>104</v>
      </c>
      <c r="B195">
        <v>482858</v>
      </c>
      <c r="C195" s="2" t="str">
        <f>"T19"</f>
        <v>T19</v>
      </c>
      <c r="D195" t="s">
        <v>205</v>
      </c>
      <c r="E195" t="s">
        <v>4</v>
      </c>
      <c r="F195">
        <v>18</v>
      </c>
      <c r="G195">
        <v>1.5</v>
      </c>
      <c r="H195" t="s">
        <v>106</v>
      </c>
      <c r="I195" s="1">
        <v>7.92</v>
      </c>
      <c r="J195" s="1">
        <v>7.53</v>
      </c>
      <c r="K195" t="s">
        <v>21</v>
      </c>
      <c r="L195" s="1">
        <v>8.2799999999999994</v>
      </c>
    </row>
    <row r="196" spans="1:12">
      <c r="A196" t="s">
        <v>104</v>
      </c>
      <c r="B196">
        <v>482859</v>
      </c>
      <c r="C196" s="2" t="str">
        <f>"T20"</f>
        <v>T20</v>
      </c>
      <c r="D196" t="s">
        <v>206</v>
      </c>
      <c r="E196" t="s">
        <v>4</v>
      </c>
      <c r="F196">
        <v>18</v>
      </c>
      <c r="G196">
        <v>1.5</v>
      </c>
      <c r="H196" t="s">
        <v>106</v>
      </c>
      <c r="I196" s="1">
        <v>16.260000000000002</v>
      </c>
      <c r="J196" s="1">
        <v>15.44</v>
      </c>
      <c r="K196" t="s">
        <v>21</v>
      </c>
      <c r="L196" s="1">
        <v>16.989999999999998</v>
      </c>
    </row>
    <row r="197" spans="1:12">
      <c r="A197" t="s">
        <v>104</v>
      </c>
      <c r="B197">
        <v>482861</v>
      </c>
      <c r="C197" s="2" t="str">
        <f>"T7"</f>
        <v>T7</v>
      </c>
      <c r="D197" t="s">
        <v>207</v>
      </c>
      <c r="E197" t="s">
        <v>4</v>
      </c>
      <c r="F197">
        <v>3.72</v>
      </c>
      <c r="G197">
        <v>0.31</v>
      </c>
      <c r="H197" t="s">
        <v>106</v>
      </c>
      <c r="I197" s="1">
        <v>2.2000000000000002</v>
      </c>
      <c r="J197" s="1">
        <v>2.09</v>
      </c>
      <c r="K197" t="s">
        <v>21</v>
      </c>
      <c r="L197" s="1">
        <v>2.2999999999999998</v>
      </c>
    </row>
    <row r="198" spans="1:12">
      <c r="A198" t="s">
        <v>104</v>
      </c>
      <c r="B198">
        <v>482862</v>
      </c>
      <c r="C198" s="2" t="str">
        <f>"T8"</f>
        <v>T8</v>
      </c>
      <c r="D198" t="s">
        <v>208</v>
      </c>
      <c r="E198" t="s">
        <v>4</v>
      </c>
      <c r="F198">
        <v>4.08</v>
      </c>
      <c r="G198">
        <v>0.34</v>
      </c>
      <c r="H198" t="s">
        <v>106</v>
      </c>
      <c r="I198" s="1">
        <v>2.4300000000000002</v>
      </c>
      <c r="J198" s="1">
        <v>2.31</v>
      </c>
      <c r="K198" t="s">
        <v>21</v>
      </c>
      <c r="L198" s="1">
        <v>2.54</v>
      </c>
    </row>
    <row r="199" spans="1:12">
      <c r="A199" t="s">
        <v>104</v>
      </c>
      <c r="B199">
        <v>482863</v>
      </c>
      <c r="C199" s="2" t="str">
        <f>"T9"</f>
        <v>T9</v>
      </c>
      <c r="D199" t="s">
        <v>209</v>
      </c>
      <c r="E199" t="s">
        <v>4</v>
      </c>
      <c r="F199">
        <v>4.5599999999999996</v>
      </c>
      <c r="G199">
        <v>0.38</v>
      </c>
      <c r="H199" t="s">
        <v>106</v>
      </c>
      <c r="I199" s="1">
        <v>2.76</v>
      </c>
      <c r="J199" s="1">
        <v>2.62</v>
      </c>
      <c r="K199" t="s">
        <v>21</v>
      </c>
      <c r="L199" s="1">
        <v>2.89</v>
      </c>
    </row>
    <row r="200" spans="1:12">
      <c r="A200" t="s">
        <v>104</v>
      </c>
      <c r="B200">
        <v>482864</v>
      </c>
      <c r="C200" s="2" t="str">
        <f>"TBC-10"</f>
        <v>TBC-10</v>
      </c>
      <c r="D200" t="s">
        <v>210</v>
      </c>
      <c r="E200" t="s">
        <v>4</v>
      </c>
      <c r="F200">
        <v>7.56</v>
      </c>
      <c r="G200">
        <v>0.63</v>
      </c>
      <c r="H200" t="s">
        <v>106</v>
      </c>
      <c r="I200" s="1">
        <v>9.6</v>
      </c>
      <c r="J200" s="1">
        <v>9.1199999999999992</v>
      </c>
      <c r="K200" t="s">
        <v>21</v>
      </c>
      <c r="L200" s="1">
        <v>10.029999999999999</v>
      </c>
    </row>
    <row r="201" spans="1:12">
      <c r="A201" t="s">
        <v>104</v>
      </c>
      <c r="B201">
        <v>482865</v>
      </c>
      <c r="C201" s="2" t="str">
        <f>"TBC-8"</f>
        <v>TBC-8</v>
      </c>
      <c r="D201" t="s">
        <v>211</v>
      </c>
      <c r="E201" t="s">
        <v>4</v>
      </c>
      <c r="F201">
        <v>5.28</v>
      </c>
      <c r="G201">
        <v>0.44</v>
      </c>
      <c r="H201" t="s">
        <v>106</v>
      </c>
      <c r="I201" s="1">
        <v>8.92</v>
      </c>
      <c r="J201" s="1">
        <v>8.4700000000000006</v>
      </c>
      <c r="K201" t="s">
        <v>21</v>
      </c>
      <c r="L201" s="1">
        <v>9.32</v>
      </c>
    </row>
    <row r="202" spans="1:12">
      <c r="A202" t="s">
        <v>104</v>
      </c>
      <c r="B202">
        <v>482866</v>
      </c>
      <c r="C202" s="2" t="str">
        <f>"TCP750"</f>
        <v>TCP750</v>
      </c>
      <c r="D202" t="s">
        <v>212</v>
      </c>
      <c r="E202" t="s">
        <v>4</v>
      </c>
      <c r="F202">
        <v>4.1399999999999997</v>
      </c>
      <c r="G202">
        <v>0.69</v>
      </c>
      <c r="H202" t="s">
        <v>20</v>
      </c>
      <c r="I202" s="1">
        <v>20.97</v>
      </c>
      <c r="J202" s="1">
        <v>19.920000000000002</v>
      </c>
      <c r="K202" t="s">
        <v>21</v>
      </c>
      <c r="L202" s="1">
        <v>21.91</v>
      </c>
    </row>
    <row r="203" spans="1:12">
      <c r="A203" t="s">
        <v>104</v>
      </c>
      <c r="B203">
        <v>482867</v>
      </c>
      <c r="C203" s="2" t="str">
        <f>"TCP9"</f>
        <v>TCP9</v>
      </c>
      <c r="D203" t="s">
        <v>213</v>
      </c>
      <c r="E203" t="s">
        <v>4</v>
      </c>
      <c r="F203">
        <v>3.78</v>
      </c>
      <c r="G203">
        <v>0.63</v>
      </c>
      <c r="H203" t="s">
        <v>20</v>
      </c>
      <c r="I203" s="1">
        <v>14.29</v>
      </c>
      <c r="J203" s="1">
        <v>13.57</v>
      </c>
      <c r="K203" t="s">
        <v>21</v>
      </c>
      <c r="L203" s="1">
        <v>14.93</v>
      </c>
    </row>
    <row r="204" spans="1:12">
      <c r="A204" t="s">
        <v>104</v>
      </c>
      <c r="B204">
        <v>482868</v>
      </c>
      <c r="C204" s="2" t="str">
        <f>"TCP925"</f>
        <v>TCP925</v>
      </c>
      <c r="D204" t="s">
        <v>214</v>
      </c>
      <c r="E204" t="s">
        <v>4</v>
      </c>
      <c r="F204">
        <v>5.64</v>
      </c>
      <c r="G204">
        <v>0.94</v>
      </c>
      <c r="H204" t="s">
        <v>20</v>
      </c>
      <c r="I204" s="1">
        <v>28.15</v>
      </c>
      <c r="J204" s="1">
        <v>26.74</v>
      </c>
      <c r="K204" t="s">
        <v>21</v>
      </c>
      <c r="L204" s="1">
        <v>29.41</v>
      </c>
    </row>
    <row r="205" spans="1:12">
      <c r="A205" t="s">
        <v>104</v>
      </c>
      <c r="B205">
        <v>482869</v>
      </c>
      <c r="C205" s="2" t="str">
        <f>"TCP95R"</f>
        <v>TCP95R</v>
      </c>
      <c r="D205" t="s">
        <v>215</v>
      </c>
      <c r="E205" t="s">
        <v>4</v>
      </c>
      <c r="F205">
        <v>3.78</v>
      </c>
      <c r="G205">
        <v>0.63</v>
      </c>
      <c r="H205" t="s">
        <v>20</v>
      </c>
      <c r="I205" s="1">
        <v>18.3</v>
      </c>
      <c r="J205" s="1">
        <v>17.39</v>
      </c>
      <c r="K205" t="s">
        <v>21</v>
      </c>
      <c r="L205" s="1">
        <v>19.13</v>
      </c>
    </row>
    <row r="206" spans="1:12">
      <c r="A206" t="s">
        <v>104</v>
      </c>
      <c r="B206">
        <v>484785</v>
      </c>
      <c r="C206" s="2" t="str">
        <f>"WG1624"</f>
        <v>WG1624</v>
      </c>
      <c r="D206" t="s">
        <v>216</v>
      </c>
      <c r="E206" t="s">
        <v>4</v>
      </c>
      <c r="F206">
        <v>28.02</v>
      </c>
      <c r="G206">
        <v>4.67</v>
      </c>
      <c r="H206" t="s">
        <v>20</v>
      </c>
      <c r="I206" s="1">
        <v>12.38</v>
      </c>
      <c r="J206" s="1">
        <v>11.76</v>
      </c>
      <c r="K206" t="s">
        <v>21</v>
      </c>
      <c r="L206" s="1">
        <v>12.94</v>
      </c>
    </row>
    <row r="207" spans="1:12">
      <c r="A207" t="s">
        <v>104</v>
      </c>
      <c r="B207">
        <v>485204</v>
      </c>
      <c r="C207" s="2" t="str">
        <f>"WK2000"</f>
        <v>WK2000</v>
      </c>
      <c r="D207" t="s">
        <v>217</v>
      </c>
      <c r="E207" t="s">
        <v>4</v>
      </c>
      <c r="F207">
        <v>4.9800000000000004</v>
      </c>
      <c r="G207">
        <v>0.83</v>
      </c>
      <c r="H207" t="s">
        <v>20</v>
      </c>
      <c r="I207" s="1">
        <v>7.54</v>
      </c>
      <c r="J207" s="1">
        <v>7.16</v>
      </c>
      <c r="K207" t="s">
        <v>21</v>
      </c>
      <c r="L207" s="1">
        <v>7.88</v>
      </c>
    </row>
    <row r="208" spans="1:12">
      <c r="A208" t="s">
        <v>104</v>
      </c>
      <c r="B208">
        <v>485201</v>
      </c>
      <c r="C208" s="2" t="str">
        <f>"WK850"</f>
        <v>WK850</v>
      </c>
      <c r="D208" t="s">
        <v>218</v>
      </c>
      <c r="E208" t="s">
        <v>4</v>
      </c>
      <c r="F208">
        <v>6</v>
      </c>
      <c r="G208">
        <v>0.5</v>
      </c>
      <c r="H208" t="s">
        <v>106</v>
      </c>
      <c r="I208" s="1">
        <v>5.89</v>
      </c>
      <c r="J208" s="1">
        <v>5.59</v>
      </c>
      <c r="K208" t="s">
        <v>21</v>
      </c>
      <c r="L208" s="1">
        <v>6.15</v>
      </c>
    </row>
    <row r="209" spans="1:12">
      <c r="A209" t="s">
        <v>104</v>
      </c>
      <c r="B209">
        <v>523237</v>
      </c>
      <c r="C209" s="2" t="str">
        <f>"WP1222"</f>
        <v>WP1222</v>
      </c>
      <c r="D209" t="s">
        <v>219</v>
      </c>
      <c r="E209" t="s">
        <v>4</v>
      </c>
      <c r="F209">
        <v>16</v>
      </c>
      <c r="G209">
        <v>4</v>
      </c>
      <c r="H209" t="s">
        <v>153</v>
      </c>
      <c r="I209" s="1">
        <v>15.08</v>
      </c>
      <c r="J209" s="1">
        <v>14.33</v>
      </c>
      <c r="K209" t="s">
        <v>21</v>
      </c>
      <c r="L209" s="1">
        <v>15.76</v>
      </c>
    </row>
    <row r="210" spans="1:12">
      <c r="A210" t="s">
        <v>104</v>
      </c>
      <c r="B210">
        <v>523230</v>
      </c>
      <c r="C210" s="2" t="str">
        <f>"WP1236"</f>
        <v>WP1236</v>
      </c>
      <c r="D210" t="s">
        <v>220</v>
      </c>
      <c r="E210" t="s">
        <v>4</v>
      </c>
      <c r="F210">
        <v>12</v>
      </c>
      <c r="G210">
        <v>3</v>
      </c>
      <c r="H210" t="s">
        <v>153</v>
      </c>
      <c r="I210" s="1">
        <v>18.559999999999999</v>
      </c>
      <c r="J210" s="1">
        <v>17.63</v>
      </c>
      <c r="K210" t="s">
        <v>21</v>
      </c>
      <c r="L210" s="1">
        <v>19.39</v>
      </c>
    </row>
    <row r="211" spans="1:12">
      <c r="A211" t="s">
        <v>104</v>
      </c>
      <c r="B211">
        <v>523231</v>
      </c>
      <c r="C211" s="2" t="str">
        <f>"WP1242"</f>
        <v>WP1242</v>
      </c>
      <c r="D211" t="s">
        <v>221</v>
      </c>
      <c r="E211" t="s">
        <v>4</v>
      </c>
      <c r="F211">
        <v>12</v>
      </c>
      <c r="G211">
        <v>3</v>
      </c>
      <c r="H211" t="s">
        <v>153</v>
      </c>
      <c r="I211" s="1">
        <v>19.07</v>
      </c>
      <c r="J211" s="1">
        <v>18.11</v>
      </c>
      <c r="K211" t="s">
        <v>21</v>
      </c>
      <c r="L211" s="1">
        <v>19.920000000000002</v>
      </c>
    </row>
    <row r="212" spans="1:12">
      <c r="A212" t="s">
        <v>104</v>
      </c>
      <c r="B212">
        <v>523232</v>
      </c>
      <c r="C212" s="2" t="str">
        <f>"WP1436"</f>
        <v>WP1436</v>
      </c>
      <c r="D212" t="s">
        <v>222</v>
      </c>
      <c r="E212" t="s">
        <v>4</v>
      </c>
      <c r="F212">
        <v>13</v>
      </c>
      <c r="G212">
        <v>3.25</v>
      </c>
      <c r="H212" t="s">
        <v>153</v>
      </c>
      <c r="I212" s="1">
        <v>21.75</v>
      </c>
      <c r="J212" s="1">
        <v>20.66</v>
      </c>
      <c r="K212" t="s">
        <v>21</v>
      </c>
      <c r="L212" s="1">
        <v>22.73</v>
      </c>
    </row>
    <row r="213" spans="1:12">
      <c r="A213" t="s">
        <v>104</v>
      </c>
      <c r="B213">
        <v>523233</v>
      </c>
      <c r="C213" s="2" t="str">
        <f>"WP1442"</f>
        <v>WP1442</v>
      </c>
      <c r="D213" t="s">
        <v>223</v>
      </c>
      <c r="E213" t="s">
        <v>4</v>
      </c>
      <c r="F213">
        <v>14</v>
      </c>
      <c r="G213">
        <v>3.5</v>
      </c>
      <c r="H213" t="s">
        <v>153</v>
      </c>
      <c r="I213" s="1">
        <v>21.75</v>
      </c>
      <c r="J213" s="1">
        <v>20.66</v>
      </c>
      <c r="K213" t="s">
        <v>21</v>
      </c>
      <c r="L213" s="1">
        <v>22.73</v>
      </c>
    </row>
    <row r="214" spans="1:12">
      <c r="A214" t="s">
        <v>104</v>
      </c>
      <c r="B214">
        <v>523234</v>
      </c>
      <c r="C214" s="2" t="str">
        <f>"WP1642"</f>
        <v>WP1642</v>
      </c>
      <c r="D214" t="s">
        <v>224</v>
      </c>
      <c r="E214" t="s">
        <v>4</v>
      </c>
      <c r="F214">
        <v>14</v>
      </c>
      <c r="G214">
        <v>3.5</v>
      </c>
      <c r="H214" t="s">
        <v>153</v>
      </c>
      <c r="I214" s="1">
        <v>24.24</v>
      </c>
      <c r="J214" s="1">
        <v>23.03</v>
      </c>
      <c r="K214" t="s">
        <v>21</v>
      </c>
      <c r="L214" s="1">
        <v>25.33</v>
      </c>
    </row>
    <row r="215" spans="1:12">
      <c r="A215" t="s">
        <v>104</v>
      </c>
      <c r="B215">
        <v>515653</v>
      </c>
      <c r="C215" s="2" t="str">
        <f>"WP1832"</f>
        <v>WP1832</v>
      </c>
      <c r="D215" t="s">
        <v>225</v>
      </c>
      <c r="E215" t="s">
        <v>4</v>
      </c>
      <c r="F215">
        <v>18</v>
      </c>
      <c r="G215">
        <v>4.5</v>
      </c>
      <c r="H215" t="s">
        <v>153</v>
      </c>
      <c r="I215" s="1">
        <v>23.65</v>
      </c>
      <c r="J215" s="1">
        <v>22.47</v>
      </c>
      <c r="K215" t="s">
        <v>21</v>
      </c>
      <c r="L215" s="1">
        <v>24.72</v>
      </c>
    </row>
    <row r="216" spans="1:12">
      <c r="A216" t="s">
        <v>104</v>
      </c>
      <c r="B216">
        <v>523235</v>
      </c>
      <c r="C216" s="2" t="str">
        <f>"WP1842"</f>
        <v>WP1842</v>
      </c>
      <c r="D216" t="s">
        <v>226</v>
      </c>
      <c r="E216" t="s">
        <v>4</v>
      </c>
      <c r="F216">
        <v>18</v>
      </c>
      <c r="G216">
        <v>4.5</v>
      </c>
      <c r="H216" t="s">
        <v>153</v>
      </c>
      <c r="I216" s="1">
        <v>26.73</v>
      </c>
      <c r="J216" s="1">
        <v>25.39</v>
      </c>
      <c r="K216" t="s">
        <v>21</v>
      </c>
      <c r="L216" s="1">
        <v>27.93</v>
      </c>
    </row>
    <row r="217" spans="1:12">
      <c r="A217" t="s">
        <v>104</v>
      </c>
      <c r="B217">
        <v>523236</v>
      </c>
      <c r="C217" s="2" t="str">
        <f>"WP2042"</f>
        <v>WP2042</v>
      </c>
      <c r="D217" t="s">
        <v>227</v>
      </c>
      <c r="E217" t="s">
        <v>4</v>
      </c>
      <c r="F217">
        <v>18</v>
      </c>
      <c r="G217">
        <v>4.5</v>
      </c>
      <c r="H217" t="s">
        <v>153</v>
      </c>
      <c r="I217" s="1">
        <v>29.84</v>
      </c>
      <c r="J217" s="1">
        <v>28.34</v>
      </c>
      <c r="K217" t="s">
        <v>21</v>
      </c>
      <c r="L217" s="1">
        <v>31.17</v>
      </c>
    </row>
    <row r="218" spans="1:12">
      <c r="A218" t="s">
        <v>104</v>
      </c>
      <c r="B218">
        <v>523238</v>
      </c>
      <c r="C218" s="2" t="str">
        <f>"WP236"</f>
        <v>WP236</v>
      </c>
      <c r="D218" t="s">
        <v>228</v>
      </c>
      <c r="E218" t="s">
        <v>4</v>
      </c>
      <c r="F218">
        <v>18</v>
      </c>
      <c r="G218">
        <v>4.5</v>
      </c>
      <c r="H218" t="s">
        <v>153</v>
      </c>
      <c r="I218" s="1">
        <v>33.979999999999997</v>
      </c>
      <c r="J218" s="1">
        <v>32.28</v>
      </c>
      <c r="K218" t="s">
        <v>21</v>
      </c>
      <c r="L218" s="1">
        <v>35.51</v>
      </c>
    </row>
    <row r="219" spans="1:12">
      <c r="A219" t="s">
        <v>104</v>
      </c>
      <c r="B219">
        <v>523239</v>
      </c>
      <c r="C219" s="2" t="str">
        <f>"WP336"</f>
        <v>WP336</v>
      </c>
      <c r="D219" t="s">
        <v>229</v>
      </c>
      <c r="E219" t="s">
        <v>4</v>
      </c>
      <c r="F219">
        <v>26</v>
      </c>
      <c r="G219">
        <v>6.5</v>
      </c>
      <c r="H219" t="s">
        <v>153</v>
      </c>
      <c r="I219" s="1">
        <v>27.98</v>
      </c>
      <c r="J219" s="1">
        <v>26.58</v>
      </c>
      <c r="K219" t="s">
        <v>21</v>
      </c>
      <c r="L219" s="1">
        <v>29.24</v>
      </c>
    </row>
    <row r="220" spans="1:12">
      <c r="A220" t="s">
        <v>104</v>
      </c>
      <c r="B220">
        <v>482884</v>
      </c>
      <c r="C220" s="2" t="str">
        <f>"WR1S"</f>
        <v>WR1S</v>
      </c>
      <c r="D220" t="s">
        <v>230</v>
      </c>
      <c r="E220" t="s">
        <v>4</v>
      </c>
      <c r="F220">
        <v>6.3</v>
      </c>
      <c r="G220">
        <v>0.63</v>
      </c>
      <c r="H220" t="s">
        <v>108</v>
      </c>
      <c r="I220" s="1">
        <v>7.89</v>
      </c>
      <c r="J220" s="1">
        <v>7.5</v>
      </c>
      <c r="K220" t="s">
        <v>21</v>
      </c>
      <c r="L220" s="1">
        <v>8.25</v>
      </c>
    </row>
    <row r="221" spans="1:12">
      <c r="A221" t="s">
        <v>104</v>
      </c>
      <c r="B221">
        <v>482886</v>
      </c>
      <c r="C221" s="2" t="str">
        <f>"WS14"</f>
        <v>WS14</v>
      </c>
      <c r="D221" t="s">
        <v>231</v>
      </c>
      <c r="E221" t="s">
        <v>4</v>
      </c>
      <c r="F221">
        <v>25</v>
      </c>
      <c r="G221">
        <v>5</v>
      </c>
      <c r="H221" t="s">
        <v>151</v>
      </c>
      <c r="I221" s="1">
        <v>11.92</v>
      </c>
      <c r="J221" s="1">
        <v>11.33</v>
      </c>
      <c r="K221" t="s">
        <v>21</v>
      </c>
      <c r="L221" s="1">
        <v>12.46</v>
      </c>
    </row>
    <row r="222" spans="1:12">
      <c r="A222" t="s">
        <v>104</v>
      </c>
      <c r="B222">
        <v>482887</v>
      </c>
      <c r="C222" s="2" t="str">
        <f>"WS20"</f>
        <v>WS20</v>
      </c>
      <c r="D222" t="s">
        <v>232</v>
      </c>
      <c r="E222" t="s">
        <v>4</v>
      </c>
      <c r="F222">
        <v>40</v>
      </c>
      <c r="G222">
        <v>8</v>
      </c>
      <c r="H222" t="s">
        <v>151</v>
      </c>
      <c r="I222" s="1">
        <v>26.64</v>
      </c>
      <c r="J222" s="1">
        <v>25.31</v>
      </c>
      <c r="K222" t="s">
        <v>21</v>
      </c>
      <c r="L222" s="1">
        <v>27.84</v>
      </c>
    </row>
    <row r="223" spans="1:12">
      <c r="A223" t="s">
        <v>233</v>
      </c>
      <c r="B223">
        <v>501133</v>
      </c>
      <c r="C223" s="2" t="str">
        <f>"32-0141TM01B"</f>
        <v>32-0141TM01B</v>
      </c>
      <c r="D223" t="s">
        <v>234</v>
      </c>
      <c r="E223" t="s">
        <v>4</v>
      </c>
      <c r="F223">
        <v>7.14</v>
      </c>
      <c r="G223">
        <v>1.19</v>
      </c>
      <c r="H223" t="s">
        <v>20</v>
      </c>
      <c r="I223" s="1">
        <v>28.45</v>
      </c>
      <c r="J223" s="1">
        <v>27.76</v>
      </c>
      <c r="K223" t="s">
        <v>21</v>
      </c>
      <c r="L223" s="1">
        <v>30.53</v>
      </c>
    </row>
    <row r="224" spans="1:12">
      <c r="A224" t="s">
        <v>233</v>
      </c>
      <c r="B224">
        <v>501149</v>
      </c>
      <c r="C224" s="2" t="str">
        <f>"32-0945TM01B"</f>
        <v>32-0945TM01B</v>
      </c>
      <c r="D224" t="s">
        <v>235</v>
      </c>
      <c r="E224" t="s">
        <v>4</v>
      </c>
      <c r="F224">
        <v>40.799999999999997</v>
      </c>
      <c r="G224">
        <v>6.8</v>
      </c>
      <c r="H224" t="s">
        <v>20</v>
      </c>
      <c r="I224" s="1">
        <v>27.18</v>
      </c>
      <c r="J224" s="1">
        <v>26.51</v>
      </c>
      <c r="K224" t="s">
        <v>21</v>
      </c>
      <c r="L224" s="1">
        <v>29.16</v>
      </c>
    </row>
    <row r="225" spans="1:12">
      <c r="A225" t="s">
        <v>233</v>
      </c>
      <c r="B225">
        <v>501151</v>
      </c>
      <c r="C225" s="2" t="str">
        <f>"32-1041TM1"</f>
        <v>32-1041TM1</v>
      </c>
      <c r="D225" t="s">
        <v>236</v>
      </c>
      <c r="E225" t="s">
        <v>4</v>
      </c>
      <c r="F225">
        <v>33</v>
      </c>
      <c r="G225">
        <v>5.5</v>
      </c>
      <c r="H225" t="s">
        <v>20</v>
      </c>
      <c r="I225" s="1">
        <v>24.7</v>
      </c>
      <c r="J225" s="1">
        <v>24.1</v>
      </c>
      <c r="K225" t="s">
        <v>21</v>
      </c>
      <c r="L225" s="1">
        <v>26.51</v>
      </c>
    </row>
    <row r="226" spans="1:12">
      <c r="A226" t="s">
        <v>233</v>
      </c>
      <c r="B226">
        <v>501141</v>
      </c>
      <c r="C226" s="2" t="str">
        <f>"32-1141TM"</f>
        <v>32-1141TM</v>
      </c>
      <c r="D226" t="s">
        <v>237</v>
      </c>
      <c r="E226" t="s">
        <v>4</v>
      </c>
      <c r="F226">
        <v>13.44</v>
      </c>
      <c r="G226">
        <v>1.1200000000000001</v>
      </c>
      <c r="H226" t="s">
        <v>106</v>
      </c>
      <c r="I226" s="1">
        <v>25.72</v>
      </c>
      <c r="J226" s="1">
        <v>25.09</v>
      </c>
      <c r="K226" t="s">
        <v>21</v>
      </c>
      <c r="L226" s="1">
        <v>27.6</v>
      </c>
    </row>
    <row r="227" spans="1:12">
      <c r="A227" t="s">
        <v>233</v>
      </c>
      <c r="B227">
        <v>501143</v>
      </c>
      <c r="C227" s="2" t="str">
        <f>"33-2502TMCA"</f>
        <v>33-2502TMCA</v>
      </c>
      <c r="D227" t="s">
        <v>238</v>
      </c>
      <c r="E227" t="s">
        <v>4</v>
      </c>
      <c r="F227">
        <v>8</v>
      </c>
      <c r="H227" t="s">
        <v>5</v>
      </c>
      <c r="I227" s="1">
        <v>45.49</v>
      </c>
      <c r="J227" s="1">
        <v>44.38</v>
      </c>
      <c r="K227" t="s">
        <v>6</v>
      </c>
    </row>
    <row r="228" spans="1:12">
      <c r="A228" t="s">
        <v>233</v>
      </c>
      <c r="B228">
        <v>506585</v>
      </c>
      <c r="C228" s="2" t="str">
        <f>"33-2512TMCAPT"</f>
        <v>33-2512TMCAPT</v>
      </c>
      <c r="D228" t="s">
        <v>239</v>
      </c>
      <c r="E228" t="s">
        <v>4</v>
      </c>
      <c r="F228">
        <v>6.6</v>
      </c>
      <c r="H228" t="s">
        <v>5</v>
      </c>
      <c r="I228" s="1">
        <v>45.49</v>
      </c>
      <c r="J228" s="1">
        <v>44.38</v>
      </c>
      <c r="K228" t="s">
        <v>6</v>
      </c>
    </row>
    <row r="229" spans="1:12">
      <c r="A229" t="s">
        <v>233</v>
      </c>
      <c r="B229">
        <v>501144</v>
      </c>
      <c r="C229" s="2" t="str">
        <f>"33-2522TMCA"</f>
        <v>33-2522TMCA</v>
      </c>
      <c r="D229" t="s">
        <v>240</v>
      </c>
      <c r="E229" t="s">
        <v>4</v>
      </c>
      <c r="F229">
        <v>8</v>
      </c>
      <c r="H229" t="s">
        <v>5</v>
      </c>
      <c r="I229" s="1">
        <v>45.49</v>
      </c>
      <c r="J229" s="1">
        <v>44.38</v>
      </c>
      <c r="K229" t="s">
        <v>6</v>
      </c>
    </row>
    <row r="230" spans="1:12">
      <c r="A230" t="s">
        <v>233</v>
      </c>
      <c r="B230">
        <v>501142</v>
      </c>
      <c r="C230" s="2" t="str">
        <f>"33-2960TMCA"</f>
        <v>33-2960TMCA</v>
      </c>
      <c r="D230" t="s">
        <v>241</v>
      </c>
      <c r="E230" t="s">
        <v>4</v>
      </c>
      <c r="F230">
        <v>8</v>
      </c>
      <c r="H230" t="s">
        <v>5</v>
      </c>
      <c r="I230" s="1">
        <v>45.49</v>
      </c>
      <c r="J230" s="1">
        <v>44.38</v>
      </c>
      <c r="K230" t="s">
        <v>6</v>
      </c>
    </row>
    <row r="231" spans="1:12">
      <c r="A231" t="s">
        <v>233</v>
      </c>
      <c r="B231">
        <v>501153</v>
      </c>
      <c r="C231" s="2" t="str">
        <f>"33-6302TMCA"</f>
        <v>33-6302TMCA</v>
      </c>
      <c r="D231" t="s">
        <v>242</v>
      </c>
      <c r="E231" t="s">
        <v>4</v>
      </c>
      <c r="F231">
        <v>3</v>
      </c>
      <c r="H231" t="s">
        <v>5</v>
      </c>
      <c r="I231" s="1">
        <v>48.83</v>
      </c>
      <c r="J231" s="1">
        <v>47.65</v>
      </c>
      <c r="K231" t="s">
        <v>6</v>
      </c>
    </row>
    <row r="232" spans="1:12">
      <c r="A232" t="s">
        <v>233</v>
      </c>
      <c r="B232">
        <v>501154</v>
      </c>
      <c r="C232" s="2" t="str">
        <f>"33-6304TMCA"</f>
        <v>33-6304TMCA</v>
      </c>
      <c r="D232" t="s">
        <v>243</v>
      </c>
      <c r="E232" t="s">
        <v>4</v>
      </c>
      <c r="F232">
        <v>3</v>
      </c>
      <c r="H232" t="s">
        <v>5</v>
      </c>
      <c r="I232" s="1">
        <v>48.83</v>
      </c>
      <c r="J232" s="1">
        <v>47.65</v>
      </c>
      <c r="K232" t="s">
        <v>6</v>
      </c>
    </row>
    <row r="233" spans="1:12">
      <c r="A233" t="s">
        <v>233</v>
      </c>
      <c r="B233">
        <v>501152</v>
      </c>
      <c r="C233" s="2" t="str">
        <f>"33-6360TMCA"</f>
        <v>33-6360TMCA</v>
      </c>
      <c r="D233" t="s">
        <v>244</v>
      </c>
      <c r="E233" t="s">
        <v>4</v>
      </c>
      <c r="F233">
        <v>3</v>
      </c>
      <c r="H233" t="s">
        <v>5</v>
      </c>
      <c r="I233" s="1">
        <v>48.83</v>
      </c>
      <c r="J233" s="1">
        <v>47.65</v>
      </c>
      <c r="K233" t="s">
        <v>6</v>
      </c>
    </row>
    <row r="234" spans="1:12">
      <c r="A234" t="s">
        <v>233</v>
      </c>
      <c r="B234">
        <v>504146</v>
      </c>
      <c r="C234" s="2" t="str">
        <f>"34-2037TM"</f>
        <v>34-2037TM</v>
      </c>
      <c r="D234" t="s">
        <v>245</v>
      </c>
      <c r="E234" t="s">
        <v>4</v>
      </c>
      <c r="F234">
        <v>1.85</v>
      </c>
      <c r="H234" t="s">
        <v>5</v>
      </c>
      <c r="I234" s="1">
        <v>63.01</v>
      </c>
      <c r="J234" s="1">
        <v>61.48</v>
      </c>
      <c r="K234" t="s">
        <v>6</v>
      </c>
    </row>
    <row r="235" spans="1:12">
      <c r="A235" t="s">
        <v>233</v>
      </c>
      <c r="B235">
        <v>501159</v>
      </c>
      <c r="C235" s="2" t="str">
        <f>"67-6111TM"</f>
        <v>67-6111TM</v>
      </c>
      <c r="D235" t="s">
        <v>246</v>
      </c>
      <c r="E235" t="s">
        <v>4</v>
      </c>
      <c r="F235">
        <v>1.6</v>
      </c>
      <c r="H235" t="s">
        <v>5</v>
      </c>
      <c r="I235" s="1">
        <v>46.59</v>
      </c>
      <c r="J235" s="1">
        <v>45.45</v>
      </c>
      <c r="K235" t="s">
        <v>6</v>
      </c>
    </row>
    <row r="236" spans="1:12">
      <c r="A236" t="s">
        <v>233</v>
      </c>
      <c r="B236">
        <v>501158</v>
      </c>
      <c r="C236" s="2" t="str">
        <f>"67-6160TM"</f>
        <v>67-6160TM</v>
      </c>
      <c r="D236" t="s">
        <v>247</v>
      </c>
      <c r="E236" t="s">
        <v>4</v>
      </c>
      <c r="F236">
        <v>1.6</v>
      </c>
      <c r="H236" t="s">
        <v>5</v>
      </c>
      <c r="I236" s="1">
        <v>46.59</v>
      </c>
      <c r="J236" s="1">
        <v>45.45</v>
      </c>
      <c r="K236" t="s">
        <v>6</v>
      </c>
    </row>
    <row r="237" spans="1:12">
      <c r="A237" t="s">
        <v>233</v>
      </c>
      <c r="B237">
        <v>501145</v>
      </c>
      <c r="C237" s="2" t="str">
        <f>"81-2100TMCA"</f>
        <v>81-2100TMCA</v>
      </c>
      <c r="D237" t="s">
        <v>248</v>
      </c>
      <c r="E237" t="s">
        <v>4</v>
      </c>
      <c r="F237">
        <v>8</v>
      </c>
      <c r="H237" t="s">
        <v>5</v>
      </c>
      <c r="I237" s="1">
        <v>58.51</v>
      </c>
      <c r="J237" s="1">
        <v>57.08</v>
      </c>
      <c r="K237" t="s">
        <v>6</v>
      </c>
    </row>
    <row r="238" spans="1:12">
      <c r="A238" t="s">
        <v>233</v>
      </c>
      <c r="B238">
        <v>501751</v>
      </c>
      <c r="C238" s="2" t="str">
        <f>"81-2200TMCA"</f>
        <v>81-2200TMCA</v>
      </c>
      <c r="D238" t="s">
        <v>249</v>
      </c>
      <c r="E238" t="s">
        <v>4</v>
      </c>
      <c r="F238">
        <v>8</v>
      </c>
      <c r="H238" t="s">
        <v>5</v>
      </c>
      <c r="I238" s="1">
        <v>58.51</v>
      </c>
      <c r="J238" s="1">
        <v>57.08</v>
      </c>
      <c r="K238" t="s">
        <v>6</v>
      </c>
    </row>
    <row r="239" spans="1:12">
      <c r="A239" t="s">
        <v>233</v>
      </c>
      <c r="B239">
        <v>501263</v>
      </c>
      <c r="C239" s="2" t="str">
        <f>"81-5200TMCA"</f>
        <v>81-5200TMCA</v>
      </c>
      <c r="D239" t="s">
        <v>250</v>
      </c>
      <c r="E239" t="s">
        <v>4</v>
      </c>
      <c r="F239">
        <v>8</v>
      </c>
      <c r="H239" t="s">
        <v>5</v>
      </c>
      <c r="I239" s="1">
        <v>59.2</v>
      </c>
      <c r="J239" s="1">
        <v>57.76</v>
      </c>
      <c r="K239" t="s">
        <v>6</v>
      </c>
    </row>
    <row r="240" spans="1:12">
      <c r="A240" t="s">
        <v>233</v>
      </c>
      <c r="B240">
        <v>501148</v>
      </c>
      <c r="C240" s="2" t="str">
        <f>"91-2801TM"</f>
        <v>91-2801TM</v>
      </c>
      <c r="D240" t="s">
        <v>251</v>
      </c>
      <c r="E240" t="s">
        <v>4</v>
      </c>
      <c r="F240">
        <v>7.2</v>
      </c>
      <c r="H240" t="s">
        <v>5</v>
      </c>
      <c r="I240" s="1">
        <v>57.56</v>
      </c>
      <c r="J240" s="1">
        <v>56.15</v>
      </c>
      <c r="K240" t="s">
        <v>6</v>
      </c>
    </row>
    <row r="241" spans="1:11">
      <c r="A241" t="s">
        <v>252</v>
      </c>
      <c r="B241">
        <v>489881</v>
      </c>
      <c r="C241" s="2" t="str">
        <f>"03212"</f>
        <v>03212</v>
      </c>
      <c r="D241" t="s">
        <v>253</v>
      </c>
      <c r="E241" t="s">
        <v>4</v>
      </c>
      <c r="F241">
        <v>47.04</v>
      </c>
      <c r="H241" t="s">
        <v>5</v>
      </c>
      <c r="I241" s="1">
        <v>68.38</v>
      </c>
      <c r="J241" s="1">
        <v>67.040000000000006</v>
      </c>
      <c r="K241" t="s">
        <v>6</v>
      </c>
    </row>
    <row r="242" spans="1:11">
      <c r="A242" t="s">
        <v>252</v>
      </c>
      <c r="B242">
        <v>489884</v>
      </c>
      <c r="C242" s="2" t="str">
        <f>"07767"</f>
        <v>07767</v>
      </c>
      <c r="D242" t="s">
        <v>254</v>
      </c>
      <c r="E242" t="s">
        <v>4</v>
      </c>
      <c r="F242">
        <v>47.04</v>
      </c>
      <c r="H242" t="s">
        <v>5</v>
      </c>
      <c r="I242" s="1">
        <v>67.97</v>
      </c>
      <c r="J242" s="1">
        <v>66.64</v>
      </c>
      <c r="K242" t="s">
        <v>6</v>
      </c>
    </row>
    <row r="243" spans="1:11">
      <c r="A243" t="s">
        <v>252</v>
      </c>
      <c r="B243">
        <v>506969</v>
      </c>
      <c r="C243" s="2" t="str">
        <f>"100-00-01"</f>
        <v>100-00-01</v>
      </c>
      <c r="D243" t="s">
        <v>255</v>
      </c>
      <c r="E243" t="s">
        <v>4</v>
      </c>
      <c r="F243">
        <v>25.01</v>
      </c>
      <c r="H243" t="s">
        <v>5</v>
      </c>
      <c r="I243" s="1">
        <v>234.08</v>
      </c>
      <c r="J243" s="1">
        <v>228.08</v>
      </c>
      <c r="K243" t="s">
        <v>6</v>
      </c>
    </row>
    <row r="244" spans="1:11">
      <c r="A244" t="s">
        <v>252</v>
      </c>
      <c r="B244">
        <v>531438</v>
      </c>
      <c r="C244" s="2" t="str">
        <f>"100-00-02"</f>
        <v>100-00-02</v>
      </c>
      <c r="D244" t="s">
        <v>256</v>
      </c>
      <c r="E244" t="s">
        <v>4</v>
      </c>
      <c r="F244">
        <v>21</v>
      </c>
      <c r="H244" t="s">
        <v>5</v>
      </c>
      <c r="I244" s="1">
        <v>234.08</v>
      </c>
      <c r="J244" s="1">
        <v>228.08</v>
      </c>
      <c r="K244" t="s">
        <v>6</v>
      </c>
    </row>
    <row r="245" spans="1:11">
      <c r="A245" t="s">
        <v>252</v>
      </c>
      <c r="B245">
        <v>518198</v>
      </c>
      <c r="C245" s="2" t="str">
        <f>"100-00-35"</f>
        <v>100-00-35</v>
      </c>
      <c r="D245" t="s">
        <v>257</v>
      </c>
      <c r="E245" t="s">
        <v>4</v>
      </c>
      <c r="F245">
        <v>26.02</v>
      </c>
      <c r="H245" t="s">
        <v>5</v>
      </c>
      <c r="I245" s="1">
        <v>247.77</v>
      </c>
      <c r="J245" s="1">
        <v>241.42</v>
      </c>
      <c r="K245" t="s">
        <v>6</v>
      </c>
    </row>
    <row r="246" spans="1:11">
      <c r="A246" t="s">
        <v>252</v>
      </c>
      <c r="B246">
        <v>506971</v>
      </c>
      <c r="C246" s="2" t="str">
        <f>"100-00-37"</f>
        <v>100-00-37</v>
      </c>
      <c r="D246" t="s">
        <v>258</v>
      </c>
      <c r="E246" t="s">
        <v>4</v>
      </c>
      <c r="F246">
        <v>28.99</v>
      </c>
      <c r="H246" t="s">
        <v>5</v>
      </c>
      <c r="I246" s="1">
        <v>280.62</v>
      </c>
      <c r="J246" s="1">
        <v>273.43</v>
      </c>
      <c r="K246" t="s">
        <v>6</v>
      </c>
    </row>
    <row r="247" spans="1:11">
      <c r="A247" t="s">
        <v>252</v>
      </c>
      <c r="B247">
        <v>379026</v>
      </c>
      <c r="C247" s="2" t="str">
        <f>"1150U"</f>
        <v>1150U</v>
      </c>
      <c r="D247" t="s">
        <v>259</v>
      </c>
      <c r="E247" t="s">
        <v>4</v>
      </c>
      <c r="F247">
        <v>30.39</v>
      </c>
      <c r="H247" t="s">
        <v>5</v>
      </c>
      <c r="I247" s="1">
        <v>73.38</v>
      </c>
      <c r="J247" s="1">
        <v>71.39</v>
      </c>
      <c r="K247" t="s">
        <v>6</v>
      </c>
    </row>
    <row r="248" spans="1:11">
      <c r="A248" t="s">
        <v>252</v>
      </c>
      <c r="B248">
        <v>379027</v>
      </c>
      <c r="C248" s="2" t="str">
        <f>"1152U"</f>
        <v>1152U</v>
      </c>
      <c r="D248" t="s">
        <v>260</v>
      </c>
      <c r="E248" t="s">
        <v>4</v>
      </c>
      <c r="F248">
        <v>37.22</v>
      </c>
      <c r="H248" t="s">
        <v>5</v>
      </c>
      <c r="I248" s="1">
        <v>91.56</v>
      </c>
      <c r="J248" s="1">
        <v>89.08</v>
      </c>
      <c r="K248" t="s">
        <v>6</v>
      </c>
    </row>
    <row r="249" spans="1:11">
      <c r="A249" t="s">
        <v>252</v>
      </c>
      <c r="B249">
        <v>379028</v>
      </c>
      <c r="C249" s="2" t="str">
        <f>"1153U"</f>
        <v>1153U</v>
      </c>
      <c r="D249" t="s">
        <v>261</v>
      </c>
      <c r="E249" t="s">
        <v>4</v>
      </c>
      <c r="F249">
        <v>37.5</v>
      </c>
      <c r="H249" t="s">
        <v>5</v>
      </c>
      <c r="I249" s="1">
        <v>87.6</v>
      </c>
      <c r="J249" s="1">
        <v>85.23</v>
      </c>
      <c r="K249" t="s">
        <v>6</v>
      </c>
    </row>
    <row r="250" spans="1:11">
      <c r="A250" t="s">
        <v>252</v>
      </c>
      <c r="B250">
        <v>379030</v>
      </c>
      <c r="C250" s="2" t="str">
        <f>"1155UR"</f>
        <v>1155UR</v>
      </c>
      <c r="D250" t="s">
        <v>262</v>
      </c>
      <c r="E250" t="s">
        <v>4</v>
      </c>
      <c r="F250">
        <v>22.12</v>
      </c>
      <c r="H250" t="s">
        <v>5</v>
      </c>
      <c r="I250" s="1">
        <v>39.94</v>
      </c>
      <c r="J250" s="1">
        <v>38.86</v>
      </c>
      <c r="K250" t="s">
        <v>6</v>
      </c>
    </row>
    <row r="251" spans="1:11">
      <c r="A251" t="s">
        <v>252</v>
      </c>
      <c r="B251">
        <v>379033</v>
      </c>
      <c r="C251" s="2" t="str">
        <f>"1170U"</f>
        <v>1170U</v>
      </c>
      <c r="D251" t="s">
        <v>263</v>
      </c>
      <c r="E251" t="s">
        <v>4</v>
      </c>
      <c r="F251">
        <v>23.73</v>
      </c>
      <c r="H251" t="s">
        <v>5</v>
      </c>
      <c r="I251" s="1">
        <v>47.99</v>
      </c>
      <c r="J251" s="1">
        <v>46.69</v>
      </c>
      <c r="K251" t="s">
        <v>6</v>
      </c>
    </row>
    <row r="252" spans="1:11">
      <c r="A252" t="s">
        <v>252</v>
      </c>
      <c r="B252">
        <v>379034</v>
      </c>
      <c r="C252" s="2" t="str">
        <f>"1172U"</f>
        <v>1172U</v>
      </c>
      <c r="D252" t="s">
        <v>264</v>
      </c>
      <c r="E252" t="s">
        <v>4</v>
      </c>
      <c r="F252">
        <v>18.95</v>
      </c>
      <c r="H252" t="s">
        <v>5</v>
      </c>
      <c r="I252" s="1">
        <v>50.52</v>
      </c>
      <c r="J252" s="1">
        <v>49.15</v>
      </c>
      <c r="K252" t="s">
        <v>6</v>
      </c>
    </row>
    <row r="253" spans="1:11">
      <c r="A253" t="s">
        <v>252</v>
      </c>
      <c r="B253">
        <v>379035</v>
      </c>
      <c r="C253" s="2" t="str">
        <f>"121UR"</f>
        <v>121UR</v>
      </c>
      <c r="D253" t="s">
        <v>265</v>
      </c>
      <c r="E253" t="s">
        <v>4</v>
      </c>
      <c r="F253">
        <v>15.36</v>
      </c>
      <c r="H253" t="s">
        <v>5</v>
      </c>
      <c r="I253" s="1">
        <v>33.700000000000003</v>
      </c>
      <c r="J253" s="1">
        <v>32.79</v>
      </c>
      <c r="K253" t="s">
        <v>6</v>
      </c>
    </row>
    <row r="254" spans="1:11">
      <c r="A254" t="s">
        <v>252</v>
      </c>
      <c r="B254">
        <v>387675</v>
      </c>
      <c r="C254" s="2" t="str">
        <f>"133450"</f>
        <v>133450</v>
      </c>
      <c r="D254" t="s">
        <v>266</v>
      </c>
      <c r="E254" t="s">
        <v>4</v>
      </c>
      <c r="F254">
        <v>11.1</v>
      </c>
      <c r="H254" t="s">
        <v>5</v>
      </c>
      <c r="I254" s="1">
        <v>34.35</v>
      </c>
      <c r="J254" s="1">
        <v>33.42</v>
      </c>
      <c r="K254" t="s">
        <v>6</v>
      </c>
    </row>
    <row r="255" spans="1:11">
      <c r="A255" t="s">
        <v>252</v>
      </c>
      <c r="B255">
        <v>379037</v>
      </c>
      <c r="C255" s="2" t="str">
        <f>"139UR"</f>
        <v>139UR</v>
      </c>
      <c r="D255" t="s">
        <v>267</v>
      </c>
      <c r="E255" t="s">
        <v>4</v>
      </c>
      <c r="F255">
        <v>24.96</v>
      </c>
      <c r="H255" t="s">
        <v>5</v>
      </c>
      <c r="I255" s="1">
        <v>54.03</v>
      </c>
      <c r="J255" s="1">
        <v>52.57</v>
      </c>
      <c r="K255" t="s">
        <v>6</v>
      </c>
    </row>
    <row r="256" spans="1:11">
      <c r="A256" t="s">
        <v>252</v>
      </c>
      <c r="B256">
        <v>379038</v>
      </c>
      <c r="C256" s="2" t="str">
        <f>"143U"</f>
        <v>143U</v>
      </c>
      <c r="D256" t="s">
        <v>268</v>
      </c>
      <c r="E256" t="s">
        <v>4</v>
      </c>
      <c r="F256">
        <v>22.25</v>
      </c>
      <c r="H256" t="s">
        <v>5</v>
      </c>
      <c r="I256" s="1">
        <v>55.71</v>
      </c>
      <c r="J256" s="1">
        <v>54.21</v>
      </c>
      <c r="K256" t="s">
        <v>6</v>
      </c>
    </row>
    <row r="257" spans="1:11">
      <c r="A257" t="s">
        <v>252</v>
      </c>
      <c r="B257">
        <v>379040</v>
      </c>
      <c r="C257" s="2" t="str">
        <f>"148U"</f>
        <v>148U</v>
      </c>
      <c r="D257" t="s">
        <v>269</v>
      </c>
      <c r="E257" t="s">
        <v>4</v>
      </c>
      <c r="F257">
        <v>20.99</v>
      </c>
      <c r="H257" t="s">
        <v>5</v>
      </c>
      <c r="I257" s="1">
        <v>54.94</v>
      </c>
      <c r="J257" s="1">
        <v>53.45</v>
      </c>
      <c r="K257" t="s">
        <v>6</v>
      </c>
    </row>
    <row r="258" spans="1:11">
      <c r="A258" t="s">
        <v>252</v>
      </c>
      <c r="B258">
        <v>448203</v>
      </c>
      <c r="C258" s="2" t="str">
        <f>"165270"</f>
        <v>165270</v>
      </c>
      <c r="D258" t="s">
        <v>270</v>
      </c>
      <c r="E258" t="s">
        <v>4</v>
      </c>
      <c r="F258">
        <v>4.9800000000000004</v>
      </c>
      <c r="H258" t="s">
        <v>5</v>
      </c>
      <c r="I258" s="1">
        <v>26.07</v>
      </c>
      <c r="J258" s="1">
        <v>25.37</v>
      </c>
      <c r="K258" t="s">
        <v>6</v>
      </c>
    </row>
    <row r="259" spans="1:11">
      <c r="A259" t="s">
        <v>252</v>
      </c>
      <c r="B259">
        <v>379043</v>
      </c>
      <c r="C259" s="2" t="str">
        <f>"16U"</f>
        <v>16U</v>
      </c>
      <c r="D259" t="s">
        <v>271</v>
      </c>
      <c r="E259" t="s">
        <v>4</v>
      </c>
      <c r="F259">
        <v>11.54</v>
      </c>
      <c r="H259" t="s">
        <v>5</v>
      </c>
      <c r="I259" s="1">
        <v>77.790000000000006</v>
      </c>
      <c r="J259" s="1">
        <v>75.69</v>
      </c>
      <c r="K259" t="s">
        <v>6</v>
      </c>
    </row>
    <row r="260" spans="1:11">
      <c r="A260" t="s">
        <v>252</v>
      </c>
      <c r="B260">
        <v>379045</v>
      </c>
      <c r="C260" s="2" t="str">
        <f>"176FU"</f>
        <v>176FU</v>
      </c>
      <c r="D260" t="s">
        <v>272</v>
      </c>
      <c r="E260" t="s">
        <v>4</v>
      </c>
      <c r="F260">
        <v>25.53</v>
      </c>
      <c r="H260" t="s">
        <v>5</v>
      </c>
      <c r="I260" s="1">
        <v>27.37</v>
      </c>
      <c r="J260" s="1">
        <v>26.83</v>
      </c>
      <c r="K260" t="s">
        <v>6</v>
      </c>
    </row>
    <row r="261" spans="1:11">
      <c r="A261" t="s">
        <v>252</v>
      </c>
      <c r="B261">
        <v>379046</v>
      </c>
      <c r="C261" s="2" t="str">
        <f>"1830EU"</f>
        <v>1830EU</v>
      </c>
      <c r="D261" t="s">
        <v>273</v>
      </c>
      <c r="E261" t="s">
        <v>4</v>
      </c>
      <c r="F261">
        <v>7.48</v>
      </c>
      <c r="H261" t="s">
        <v>5</v>
      </c>
      <c r="I261" s="1">
        <v>41.1</v>
      </c>
      <c r="J261" s="1">
        <v>39.99</v>
      </c>
      <c r="K261" t="s">
        <v>6</v>
      </c>
    </row>
    <row r="262" spans="1:11">
      <c r="A262" t="s">
        <v>252</v>
      </c>
      <c r="B262">
        <v>379047</v>
      </c>
      <c r="C262" s="2" t="str">
        <f>"18U"</f>
        <v>18U</v>
      </c>
      <c r="D262" t="s">
        <v>274</v>
      </c>
      <c r="E262" t="s">
        <v>4</v>
      </c>
      <c r="F262">
        <v>36.299999999999997</v>
      </c>
      <c r="H262" t="s">
        <v>5</v>
      </c>
      <c r="I262" s="1">
        <v>66.88</v>
      </c>
      <c r="J262" s="1">
        <v>65.08</v>
      </c>
      <c r="K262" t="s">
        <v>6</v>
      </c>
    </row>
    <row r="263" spans="1:11">
      <c r="A263" t="s">
        <v>252</v>
      </c>
      <c r="B263">
        <v>379050</v>
      </c>
      <c r="C263" s="2" t="str">
        <f>"2047U"</f>
        <v>2047U</v>
      </c>
      <c r="D263" t="s">
        <v>275</v>
      </c>
      <c r="E263" t="s">
        <v>4</v>
      </c>
      <c r="F263">
        <v>27</v>
      </c>
      <c r="H263" t="s">
        <v>5</v>
      </c>
      <c r="I263" s="1">
        <v>52.01</v>
      </c>
      <c r="J263" s="1">
        <v>50.61</v>
      </c>
      <c r="K263" t="s">
        <v>6</v>
      </c>
    </row>
    <row r="264" spans="1:11">
      <c r="A264" t="s">
        <v>252</v>
      </c>
      <c r="B264">
        <v>379052</v>
      </c>
      <c r="C264" s="2" t="str">
        <f>"2081M"</f>
        <v>2081M</v>
      </c>
      <c r="D264" t="s">
        <v>276</v>
      </c>
      <c r="E264" t="s">
        <v>4</v>
      </c>
      <c r="F264">
        <v>13.99</v>
      </c>
      <c r="H264" t="s">
        <v>5</v>
      </c>
      <c r="I264" s="1">
        <v>93.51</v>
      </c>
      <c r="J264" s="1">
        <v>90.98</v>
      </c>
      <c r="K264" t="s">
        <v>6</v>
      </c>
    </row>
    <row r="265" spans="1:11">
      <c r="A265" t="s">
        <v>252</v>
      </c>
      <c r="B265">
        <v>379053</v>
      </c>
      <c r="C265" s="2" t="str">
        <f>"2085M"</f>
        <v>2085M</v>
      </c>
      <c r="D265" t="s">
        <v>277</v>
      </c>
      <c r="E265" t="s">
        <v>4</v>
      </c>
      <c r="F265">
        <v>8.6999999999999993</v>
      </c>
      <c r="H265" t="s">
        <v>5</v>
      </c>
      <c r="I265" s="1">
        <v>46.75</v>
      </c>
      <c r="J265" s="1">
        <v>45.49</v>
      </c>
      <c r="K265" t="s">
        <v>6</v>
      </c>
    </row>
    <row r="266" spans="1:11">
      <c r="A266" t="s">
        <v>252</v>
      </c>
      <c r="B266">
        <v>379054</v>
      </c>
      <c r="C266" s="2" t="str">
        <f>"2095UX"</f>
        <v>2095UX</v>
      </c>
      <c r="D266" t="s">
        <v>278</v>
      </c>
      <c r="E266" t="s">
        <v>4</v>
      </c>
      <c r="F266">
        <v>9</v>
      </c>
      <c r="H266" t="s">
        <v>5</v>
      </c>
      <c r="I266" s="1">
        <v>59.68</v>
      </c>
      <c r="J266" s="1">
        <v>58.06</v>
      </c>
      <c r="K266" t="s">
        <v>6</v>
      </c>
    </row>
    <row r="267" spans="1:11">
      <c r="A267" t="s">
        <v>252</v>
      </c>
      <c r="B267">
        <v>379055</v>
      </c>
      <c r="C267" s="2" t="str">
        <f>"2238U"</f>
        <v>2238U</v>
      </c>
      <c r="D267" t="s">
        <v>279</v>
      </c>
      <c r="E267" t="s">
        <v>4</v>
      </c>
      <c r="F267">
        <v>37.94</v>
      </c>
      <c r="H267" t="s">
        <v>5</v>
      </c>
      <c r="I267" s="1">
        <v>77.14</v>
      </c>
      <c r="J267" s="1">
        <v>75.06</v>
      </c>
      <c r="K267" t="s">
        <v>6</v>
      </c>
    </row>
    <row r="268" spans="1:11">
      <c r="A268" t="s">
        <v>252</v>
      </c>
      <c r="B268">
        <v>389980</v>
      </c>
      <c r="C268" s="2" t="str">
        <f>"2283Q"</f>
        <v>2283Q</v>
      </c>
      <c r="D268" t="s">
        <v>280</v>
      </c>
      <c r="E268" t="s">
        <v>4</v>
      </c>
      <c r="F268">
        <v>10.51</v>
      </c>
      <c r="H268" t="s">
        <v>5</v>
      </c>
      <c r="I268" s="1">
        <v>41.49</v>
      </c>
      <c r="J268" s="1">
        <v>40.369999999999997</v>
      </c>
      <c r="K268" t="s">
        <v>6</v>
      </c>
    </row>
    <row r="269" spans="1:11">
      <c r="A269" t="s">
        <v>252</v>
      </c>
      <c r="B269">
        <v>379058</v>
      </c>
      <c r="C269" s="2" t="str">
        <f>"279U"</f>
        <v>279U</v>
      </c>
      <c r="D269" t="s">
        <v>281</v>
      </c>
      <c r="E269" t="s">
        <v>4</v>
      </c>
      <c r="F269">
        <v>10.8</v>
      </c>
      <c r="H269" t="s">
        <v>5</v>
      </c>
      <c r="I269" s="1">
        <v>57.66</v>
      </c>
      <c r="J269" s="1">
        <v>56.1</v>
      </c>
      <c r="K269" t="s">
        <v>6</v>
      </c>
    </row>
    <row r="270" spans="1:11">
      <c r="A270" t="s">
        <v>252</v>
      </c>
      <c r="B270">
        <v>530774</v>
      </c>
      <c r="C270" s="2" t="str">
        <f>"283-00-11"</f>
        <v>283-00-11</v>
      </c>
      <c r="D270" t="s">
        <v>282</v>
      </c>
      <c r="E270" t="s">
        <v>4</v>
      </c>
      <c r="F270">
        <v>22</v>
      </c>
      <c r="H270" t="s">
        <v>5</v>
      </c>
      <c r="I270" s="1">
        <v>217.66</v>
      </c>
      <c r="J270" s="1">
        <v>212.07</v>
      </c>
      <c r="K270" t="s">
        <v>6</v>
      </c>
    </row>
    <row r="271" spans="1:11">
      <c r="A271" t="s">
        <v>252</v>
      </c>
      <c r="B271">
        <v>427944</v>
      </c>
      <c r="C271" s="2" t="str">
        <f>"2907M"</f>
        <v>2907M</v>
      </c>
      <c r="D271" t="s">
        <v>283</v>
      </c>
      <c r="E271" t="s">
        <v>4</v>
      </c>
      <c r="F271">
        <v>19.8</v>
      </c>
      <c r="H271" t="s">
        <v>5</v>
      </c>
      <c r="I271" s="1">
        <v>111.04</v>
      </c>
      <c r="J271" s="1">
        <v>108.04</v>
      </c>
      <c r="K271" t="s">
        <v>6</v>
      </c>
    </row>
    <row r="272" spans="1:11">
      <c r="A272" t="s">
        <v>252</v>
      </c>
      <c r="B272">
        <v>379062</v>
      </c>
      <c r="C272" s="2" t="str">
        <f>"2908M"</f>
        <v>2908M</v>
      </c>
      <c r="D272" t="s">
        <v>284</v>
      </c>
      <c r="E272" t="s">
        <v>4</v>
      </c>
      <c r="F272">
        <v>21.21</v>
      </c>
      <c r="H272" t="s">
        <v>5</v>
      </c>
      <c r="I272" s="1">
        <v>112.01</v>
      </c>
      <c r="J272" s="1">
        <v>108.99</v>
      </c>
      <c r="K272" t="s">
        <v>6</v>
      </c>
    </row>
    <row r="273" spans="1:11">
      <c r="A273" t="s">
        <v>252</v>
      </c>
      <c r="B273">
        <v>379063</v>
      </c>
      <c r="C273" s="2" t="str">
        <f>"2910M"</f>
        <v>2910M</v>
      </c>
      <c r="D273" t="s">
        <v>285</v>
      </c>
      <c r="E273" t="s">
        <v>4</v>
      </c>
      <c r="F273">
        <v>24.71</v>
      </c>
      <c r="H273" t="s">
        <v>5</v>
      </c>
      <c r="I273" s="1">
        <v>112.99</v>
      </c>
      <c r="J273" s="1">
        <v>109.93</v>
      </c>
      <c r="K273" t="s">
        <v>6</v>
      </c>
    </row>
    <row r="274" spans="1:11">
      <c r="A274" t="s">
        <v>252</v>
      </c>
      <c r="B274">
        <v>379064</v>
      </c>
      <c r="C274" s="2" t="str">
        <f>"2912UX"</f>
        <v>2912UX</v>
      </c>
      <c r="D274" t="s">
        <v>286</v>
      </c>
      <c r="E274" t="s">
        <v>4</v>
      </c>
      <c r="F274">
        <v>16.95</v>
      </c>
      <c r="H274" t="s">
        <v>5</v>
      </c>
      <c r="I274" s="1">
        <v>120</v>
      </c>
      <c r="J274" s="1">
        <v>116.76</v>
      </c>
      <c r="K274" t="s">
        <v>6</v>
      </c>
    </row>
    <row r="275" spans="1:11">
      <c r="A275" t="s">
        <v>252</v>
      </c>
      <c r="B275">
        <v>379066</v>
      </c>
      <c r="C275" s="2" t="str">
        <f>"2917UX"</f>
        <v>2917UX</v>
      </c>
      <c r="D275" t="s">
        <v>287</v>
      </c>
      <c r="E275" t="s">
        <v>4</v>
      </c>
      <c r="F275">
        <v>15.65</v>
      </c>
      <c r="H275" t="s">
        <v>5</v>
      </c>
      <c r="I275" s="1">
        <v>61.69</v>
      </c>
      <c r="J275" s="1">
        <v>60.02</v>
      </c>
      <c r="K275" t="s">
        <v>6</v>
      </c>
    </row>
    <row r="276" spans="1:11">
      <c r="A276" t="s">
        <v>252</v>
      </c>
      <c r="B276">
        <v>379067</v>
      </c>
      <c r="C276" s="2" t="str">
        <f>"2926M"</f>
        <v>2926M</v>
      </c>
      <c r="D276" t="s">
        <v>288</v>
      </c>
      <c r="E276" t="s">
        <v>4</v>
      </c>
      <c r="F276">
        <v>14</v>
      </c>
      <c r="H276" t="s">
        <v>5</v>
      </c>
      <c r="I276" s="1">
        <v>111.04</v>
      </c>
      <c r="J276" s="1">
        <v>108.04</v>
      </c>
      <c r="K276" t="s">
        <v>6</v>
      </c>
    </row>
    <row r="277" spans="1:11">
      <c r="A277" t="s">
        <v>252</v>
      </c>
      <c r="B277">
        <v>379068</v>
      </c>
      <c r="C277" s="2" t="str">
        <f>"2928M"</f>
        <v>2928M</v>
      </c>
      <c r="D277" t="s">
        <v>289</v>
      </c>
      <c r="E277" t="s">
        <v>4</v>
      </c>
      <c r="F277">
        <v>18.55</v>
      </c>
      <c r="H277" t="s">
        <v>5</v>
      </c>
      <c r="I277" s="1">
        <v>111.04</v>
      </c>
      <c r="J277" s="1">
        <v>108.04</v>
      </c>
      <c r="K277" t="s">
        <v>6</v>
      </c>
    </row>
    <row r="278" spans="1:11">
      <c r="A278" t="s">
        <v>252</v>
      </c>
      <c r="B278">
        <v>379069</v>
      </c>
      <c r="C278" s="2" t="str">
        <f>"2930M"</f>
        <v>2930M</v>
      </c>
      <c r="D278" t="s">
        <v>290</v>
      </c>
      <c r="E278" t="s">
        <v>4</v>
      </c>
      <c r="F278">
        <v>18.89</v>
      </c>
      <c r="H278" t="s">
        <v>5</v>
      </c>
      <c r="I278" s="1">
        <v>111.04</v>
      </c>
      <c r="J278" s="1">
        <v>108.04</v>
      </c>
      <c r="K278" t="s">
        <v>6</v>
      </c>
    </row>
    <row r="279" spans="1:11">
      <c r="A279" t="s">
        <v>252</v>
      </c>
      <c r="B279">
        <v>379070</v>
      </c>
      <c r="C279" s="2" t="str">
        <f>"2931M"</f>
        <v>2931M</v>
      </c>
      <c r="D279" t="s">
        <v>291</v>
      </c>
      <c r="E279" t="s">
        <v>4</v>
      </c>
      <c r="F279">
        <v>19.8</v>
      </c>
      <c r="H279" t="s">
        <v>5</v>
      </c>
      <c r="I279" s="1">
        <v>111.04</v>
      </c>
      <c r="J279" s="1">
        <v>108.04</v>
      </c>
      <c r="K279" t="s">
        <v>6</v>
      </c>
    </row>
    <row r="280" spans="1:11">
      <c r="A280" t="s">
        <v>252</v>
      </c>
      <c r="B280">
        <v>379071</v>
      </c>
      <c r="C280" s="2" t="str">
        <f>"2932M"</f>
        <v>2932M</v>
      </c>
      <c r="D280" t="s">
        <v>292</v>
      </c>
      <c r="E280" t="s">
        <v>4</v>
      </c>
      <c r="F280">
        <v>19.8</v>
      </c>
      <c r="H280" t="s">
        <v>5</v>
      </c>
      <c r="I280" s="1">
        <v>115.32</v>
      </c>
      <c r="J280" s="1">
        <v>112.21</v>
      </c>
      <c r="K280" t="s">
        <v>6</v>
      </c>
    </row>
    <row r="281" spans="1:11">
      <c r="A281" t="s">
        <v>252</v>
      </c>
      <c r="B281">
        <v>379073</v>
      </c>
      <c r="C281" s="2" t="str">
        <f>"2936M"</f>
        <v>2936M</v>
      </c>
      <c r="D281" t="s">
        <v>293</v>
      </c>
      <c r="E281" t="s">
        <v>4</v>
      </c>
      <c r="F281">
        <v>15.31</v>
      </c>
      <c r="H281" t="s">
        <v>5</v>
      </c>
      <c r="I281" s="1">
        <v>111.04</v>
      </c>
      <c r="J281" s="1">
        <v>108.04</v>
      </c>
      <c r="K281" t="s">
        <v>6</v>
      </c>
    </row>
    <row r="282" spans="1:11">
      <c r="A282" t="s">
        <v>252</v>
      </c>
      <c r="B282">
        <v>427500</v>
      </c>
      <c r="C282" s="2" t="str">
        <f>"2938M"</f>
        <v>2938M</v>
      </c>
      <c r="D282" t="s">
        <v>294</v>
      </c>
      <c r="E282" t="s">
        <v>4</v>
      </c>
      <c r="F282">
        <v>16.52</v>
      </c>
      <c r="H282" t="s">
        <v>5</v>
      </c>
      <c r="I282" s="1">
        <v>111.04</v>
      </c>
      <c r="J282" s="1">
        <v>108.04</v>
      </c>
      <c r="K282" t="s">
        <v>6</v>
      </c>
    </row>
    <row r="283" spans="1:11">
      <c r="A283" t="s">
        <v>252</v>
      </c>
      <c r="B283">
        <v>379076</v>
      </c>
      <c r="C283" s="2" t="str">
        <f>"2942M"</f>
        <v>2942M</v>
      </c>
      <c r="D283" t="s">
        <v>295</v>
      </c>
      <c r="E283" t="s">
        <v>4</v>
      </c>
      <c r="F283">
        <v>21.1</v>
      </c>
      <c r="H283" t="s">
        <v>5</v>
      </c>
      <c r="I283" s="1">
        <v>111.04</v>
      </c>
      <c r="J283" s="1">
        <v>108.04</v>
      </c>
      <c r="K283" t="s">
        <v>6</v>
      </c>
    </row>
    <row r="284" spans="1:11">
      <c r="A284" t="s">
        <v>252</v>
      </c>
      <c r="B284">
        <v>383413</v>
      </c>
      <c r="C284" s="2" t="str">
        <f>"308U"</f>
        <v>308U</v>
      </c>
      <c r="D284" t="s">
        <v>296</v>
      </c>
      <c r="E284" t="s">
        <v>4</v>
      </c>
      <c r="F284">
        <v>18.940000000000001</v>
      </c>
      <c r="H284" t="s">
        <v>5</v>
      </c>
      <c r="I284" s="1">
        <v>54.94</v>
      </c>
      <c r="J284" s="1">
        <v>53.45</v>
      </c>
      <c r="K284" t="s">
        <v>6</v>
      </c>
    </row>
    <row r="285" spans="1:11">
      <c r="A285" t="s">
        <v>252</v>
      </c>
      <c r="B285">
        <v>379082</v>
      </c>
      <c r="C285" s="2" t="str">
        <f>"3108U"</f>
        <v>3108U</v>
      </c>
      <c r="D285" t="s">
        <v>297</v>
      </c>
      <c r="E285" t="s">
        <v>4</v>
      </c>
      <c r="F285">
        <v>38</v>
      </c>
      <c r="H285" t="s">
        <v>5</v>
      </c>
      <c r="I285" s="1">
        <v>80.650000000000006</v>
      </c>
      <c r="J285" s="1">
        <v>78.47</v>
      </c>
      <c r="K285" t="s">
        <v>6</v>
      </c>
    </row>
    <row r="286" spans="1:11">
      <c r="A286" t="s">
        <v>252</v>
      </c>
      <c r="B286">
        <v>379086</v>
      </c>
      <c r="C286" s="2" t="str">
        <f>"3113U"</f>
        <v>3113U</v>
      </c>
      <c r="D286" t="s">
        <v>298</v>
      </c>
      <c r="E286" t="s">
        <v>4</v>
      </c>
      <c r="F286">
        <v>25.49</v>
      </c>
      <c r="H286" t="s">
        <v>5</v>
      </c>
      <c r="I286" s="1">
        <v>59.42</v>
      </c>
      <c r="J286" s="1">
        <v>57.81</v>
      </c>
      <c r="K286" t="s">
        <v>6</v>
      </c>
    </row>
    <row r="287" spans="1:11">
      <c r="A287" t="s">
        <v>252</v>
      </c>
      <c r="B287">
        <v>379089</v>
      </c>
      <c r="C287" s="2" t="str">
        <f>"3141U"</f>
        <v>3141U</v>
      </c>
      <c r="D287" t="s">
        <v>299</v>
      </c>
      <c r="E287" t="s">
        <v>4</v>
      </c>
      <c r="F287">
        <v>27</v>
      </c>
      <c r="H287" t="s">
        <v>5</v>
      </c>
      <c r="I287" s="1">
        <v>57.08</v>
      </c>
      <c r="J287" s="1">
        <v>55.54</v>
      </c>
      <c r="K287" t="s">
        <v>6</v>
      </c>
    </row>
    <row r="288" spans="1:11">
      <c r="A288" t="s">
        <v>252</v>
      </c>
      <c r="B288">
        <v>379090</v>
      </c>
      <c r="C288" s="2" t="str">
        <f>"3143U"</f>
        <v>3143U</v>
      </c>
      <c r="D288" t="s">
        <v>300</v>
      </c>
      <c r="E288" t="s">
        <v>4</v>
      </c>
      <c r="F288">
        <v>27.02</v>
      </c>
      <c r="H288" t="s">
        <v>5</v>
      </c>
      <c r="I288" s="1">
        <v>62.34</v>
      </c>
      <c r="J288" s="1">
        <v>60.65</v>
      </c>
      <c r="K288" t="s">
        <v>6</v>
      </c>
    </row>
    <row r="289" spans="1:11">
      <c r="A289" t="s">
        <v>252</v>
      </c>
      <c r="B289">
        <v>379093</v>
      </c>
      <c r="C289" s="2" t="str">
        <f>"3167U"</f>
        <v>3167U</v>
      </c>
      <c r="D289" t="s">
        <v>301</v>
      </c>
      <c r="E289" t="s">
        <v>4</v>
      </c>
      <c r="F289">
        <v>32.79</v>
      </c>
      <c r="H289" t="s">
        <v>5</v>
      </c>
      <c r="I289" s="1">
        <v>74.42</v>
      </c>
      <c r="J289" s="1">
        <v>72.400000000000006</v>
      </c>
      <c r="K289" t="s">
        <v>6</v>
      </c>
    </row>
    <row r="290" spans="1:11">
      <c r="A290" t="s">
        <v>252</v>
      </c>
      <c r="B290">
        <v>379094</v>
      </c>
      <c r="C290" s="2" t="str">
        <f>"3168U"</f>
        <v>3168U</v>
      </c>
      <c r="D290" t="s">
        <v>302</v>
      </c>
      <c r="E290" t="s">
        <v>4</v>
      </c>
      <c r="F290">
        <v>39</v>
      </c>
      <c r="H290" t="s">
        <v>5</v>
      </c>
      <c r="I290" s="1">
        <v>77.53</v>
      </c>
      <c r="J290" s="1">
        <v>75.44</v>
      </c>
      <c r="K290" t="s">
        <v>6</v>
      </c>
    </row>
    <row r="291" spans="1:11">
      <c r="A291" t="s">
        <v>252</v>
      </c>
      <c r="B291">
        <v>379095</v>
      </c>
      <c r="C291" s="2" t="str">
        <f>"3169U"</f>
        <v>3169U</v>
      </c>
      <c r="D291" t="s">
        <v>303</v>
      </c>
      <c r="E291" t="s">
        <v>4</v>
      </c>
      <c r="F291">
        <v>39</v>
      </c>
      <c r="H291" t="s">
        <v>5</v>
      </c>
      <c r="I291" s="1">
        <v>82.6</v>
      </c>
      <c r="J291" s="1">
        <v>80.37</v>
      </c>
      <c r="K291" t="s">
        <v>6</v>
      </c>
    </row>
    <row r="292" spans="1:11">
      <c r="A292" t="s">
        <v>252</v>
      </c>
      <c r="B292">
        <v>379096</v>
      </c>
      <c r="C292" s="2" t="str">
        <f>"3170U"</f>
        <v>3170U</v>
      </c>
      <c r="D292" t="s">
        <v>304</v>
      </c>
      <c r="E292" t="s">
        <v>4</v>
      </c>
      <c r="F292">
        <v>42</v>
      </c>
      <c r="H292" t="s">
        <v>5</v>
      </c>
      <c r="I292" s="1">
        <v>84.55</v>
      </c>
      <c r="J292" s="1">
        <v>82.26</v>
      </c>
      <c r="K292" t="s">
        <v>6</v>
      </c>
    </row>
    <row r="293" spans="1:11">
      <c r="A293" t="s">
        <v>252</v>
      </c>
      <c r="B293">
        <v>379097</v>
      </c>
      <c r="C293" s="2" t="str">
        <f>"3172U"</f>
        <v>3172U</v>
      </c>
      <c r="D293" t="s">
        <v>305</v>
      </c>
      <c r="E293" t="s">
        <v>4</v>
      </c>
      <c r="F293">
        <v>48.44</v>
      </c>
      <c r="H293" t="s">
        <v>5</v>
      </c>
      <c r="I293" s="1">
        <v>93.12</v>
      </c>
      <c r="J293" s="1">
        <v>90.6</v>
      </c>
      <c r="K293" t="s">
        <v>6</v>
      </c>
    </row>
    <row r="294" spans="1:11">
      <c r="A294" t="s">
        <v>252</v>
      </c>
      <c r="B294">
        <v>379098</v>
      </c>
      <c r="C294" s="2" t="str">
        <f>"3175U"</f>
        <v>3175U</v>
      </c>
      <c r="D294" t="s">
        <v>306</v>
      </c>
      <c r="E294" t="s">
        <v>4</v>
      </c>
      <c r="F294">
        <v>30</v>
      </c>
      <c r="H294" t="s">
        <v>5</v>
      </c>
      <c r="I294" s="1">
        <v>68.38</v>
      </c>
      <c r="J294" s="1">
        <v>66.53</v>
      </c>
      <c r="K294" t="s">
        <v>6</v>
      </c>
    </row>
    <row r="295" spans="1:11">
      <c r="A295" t="s">
        <v>252</v>
      </c>
      <c r="B295">
        <v>379100</v>
      </c>
      <c r="C295" s="2" t="str">
        <f>"3178FU"</f>
        <v>3178FU</v>
      </c>
      <c r="D295" t="s">
        <v>307</v>
      </c>
      <c r="E295" t="s">
        <v>4</v>
      </c>
      <c r="F295">
        <v>20.52</v>
      </c>
      <c r="H295" t="s">
        <v>5</v>
      </c>
      <c r="I295" s="1">
        <v>46.17</v>
      </c>
      <c r="J295" s="1">
        <v>44.92</v>
      </c>
      <c r="K295" t="s">
        <v>6</v>
      </c>
    </row>
    <row r="296" spans="1:11">
      <c r="A296" t="s">
        <v>252</v>
      </c>
      <c r="B296">
        <v>379101</v>
      </c>
      <c r="C296" s="2" t="str">
        <f>"3181EU"</f>
        <v>3181EU</v>
      </c>
      <c r="D296" t="s">
        <v>308</v>
      </c>
      <c r="E296" t="s">
        <v>4</v>
      </c>
      <c r="F296">
        <v>22.68</v>
      </c>
      <c r="H296" t="s">
        <v>5</v>
      </c>
      <c r="I296" s="1">
        <v>55.52</v>
      </c>
      <c r="J296" s="1">
        <v>54.02</v>
      </c>
      <c r="K296" t="s">
        <v>6</v>
      </c>
    </row>
    <row r="297" spans="1:11">
      <c r="A297" t="s">
        <v>252</v>
      </c>
      <c r="B297">
        <v>379106</v>
      </c>
      <c r="C297" s="2" t="str">
        <f>"3532/6721U"</f>
        <v>3532/6721U</v>
      </c>
      <c r="D297" t="s">
        <v>309</v>
      </c>
      <c r="E297" t="s">
        <v>4</v>
      </c>
      <c r="F297">
        <v>34.92</v>
      </c>
      <c r="H297" t="s">
        <v>5</v>
      </c>
      <c r="I297" s="1">
        <v>122.73</v>
      </c>
      <c r="J297" s="1">
        <v>119.41</v>
      </c>
      <c r="K297" t="s">
        <v>6</v>
      </c>
    </row>
    <row r="298" spans="1:11">
      <c r="A298" t="s">
        <v>252</v>
      </c>
      <c r="B298">
        <v>379107</v>
      </c>
      <c r="C298" s="2" t="str">
        <f>"3532U"</f>
        <v>3532U</v>
      </c>
      <c r="D298" t="s">
        <v>310</v>
      </c>
      <c r="E298" t="s">
        <v>4</v>
      </c>
      <c r="F298">
        <v>34.92</v>
      </c>
      <c r="H298" t="s">
        <v>5</v>
      </c>
      <c r="I298" s="1">
        <v>82.99</v>
      </c>
      <c r="J298" s="1">
        <v>80.739999999999995</v>
      </c>
      <c r="K298" t="s">
        <v>6</v>
      </c>
    </row>
    <row r="299" spans="1:11">
      <c r="A299" t="s">
        <v>252</v>
      </c>
      <c r="B299">
        <v>385830</v>
      </c>
      <c r="C299" s="2" t="str">
        <f>"3661U"</f>
        <v>3661U</v>
      </c>
      <c r="D299" t="s">
        <v>311</v>
      </c>
      <c r="E299" t="s">
        <v>4</v>
      </c>
      <c r="F299">
        <v>16</v>
      </c>
      <c r="H299" t="s">
        <v>5</v>
      </c>
      <c r="I299" s="1">
        <v>79.87</v>
      </c>
      <c r="J299" s="1">
        <v>77.709999999999994</v>
      </c>
      <c r="K299" t="s">
        <v>6</v>
      </c>
    </row>
    <row r="300" spans="1:11">
      <c r="A300" t="s">
        <v>252</v>
      </c>
      <c r="B300">
        <v>388133</v>
      </c>
      <c r="C300" s="2" t="str">
        <f>"3666EU"</f>
        <v>3666EU</v>
      </c>
      <c r="D300" t="s">
        <v>312</v>
      </c>
      <c r="E300" t="s">
        <v>4</v>
      </c>
      <c r="F300">
        <v>26</v>
      </c>
      <c r="H300" t="s">
        <v>5</v>
      </c>
      <c r="I300" s="1">
        <v>106.36</v>
      </c>
      <c r="J300" s="1">
        <v>103.49</v>
      </c>
      <c r="K300" t="s">
        <v>6</v>
      </c>
    </row>
    <row r="301" spans="1:11">
      <c r="A301" t="s">
        <v>252</v>
      </c>
      <c r="B301">
        <v>386087</v>
      </c>
      <c r="C301" s="2" t="str">
        <f>"3667EU"</f>
        <v>3667EU</v>
      </c>
      <c r="D301" t="s">
        <v>313</v>
      </c>
      <c r="E301" t="s">
        <v>4</v>
      </c>
      <c r="F301">
        <v>24</v>
      </c>
      <c r="H301" t="s">
        <v>5</v>
      </c>
      <c r="I301" s="1">
        <v>98.96</v>
      </c>
      <c r="J301" s="1">
        <v>96.29</v>
      </c>
      <c r="K301" t="s">
        <v>6</v>
      </c>
    </row>
    <row r="302" spans="1:11">
      <c r="A302" t="s">
        <v>252</v>
      </c>
      <c r="B302">
        <v>379111</v>
      </c>
      <c r="C302" s="2" t="str">
        <f>"3668U"</f>
        <v>3668U</v>
      </c>
      <c r="D302" t="s">
        <v>314</v>
      </c>
      <c r="E302" t="s">
        <v>4</v>
      </c>
      <c r="F302">
        <v>22.23</v>
      </c>
      <c r="H302" t="s">
        <v>5</v>
      </c>
      <c r="I302" s="1">
        <v>93.9</v>
      </c>
      <c r="J302" s="1">
        <v>91.36</v>
      </c>
      <c r="K302" t="s">
        <v>6</v>
      </c>
    </row>
    <row r="303" spans="1:11">
      <c r="A303" t="s">
        <v>252</v>
      </c>
      <c r="B303">
        <v>379114</v>
      </c>
      <c r="C303" s="2" t="str">
        <f>"3933M"</f>
        <v>3933M</v>
      </c>
      <c r="D303" t="s">
        <v>315</v>
      </c>
      <c r="E303" t="s">
        <v>4</v>
      </c>
      <c r="F303">
        <v>12</v>
      </c>
      <c r="H303" t="s">
        <v>5</v>
      </c>
      <c r="I303" s="1">
        <v>66.099999999999994</v>
      </c>
      <c r="J303" s="1">
        <v>64.319999999999993</v>
      </c>
      <c r="K303" t="s">
        <v>6</v>
      </c>
    </row>
    <row r="304" spans="1:11">
      <c r="A304" t="s">
        <v>252</v>
      </c>
      <c r="B304">
        <v>446503</v>
      </c>
      <c r="C304" s="2" t="str">
        <f>"3950M"</f>
        <v>3950M</v>
      </c>
      <c r="D304" t="s">
        <v>316</v>
      </c>
      <c r="E304" t="s">
        <v>4</v>
      </c>
      <c r="F304">
        <v>10</v>
      </c>
      <c r="H304" t="s">
        <v>5</v>
      </c>
      <c r="I304" s="1">
        <v>51.69</v>
      </c>
      <c r="J304" s="1">
        <v>50.29</v>
      </c>
      <c r="K304" t="s">
        <v>6</v>
      </c>
    </row>
    <row r="305" spans="1:11">
      <c r="A305" t="s">
        <v>252</v>
      </c>
      <c r="B305">
        <v>379116</v>
      </c>
      <c r="C305" s="2" t="str">
        <f>"3951M"</f>
        <v>3951M</v>
      </c>
      <c r="D305" t="s">
        <v>317</v>
      </c>
      <c r="E305" t="s">
        <v>4</v>
      </c>
      <c r="F305">
        <v>13.1</v>
      </c>
      <c r="H305" t="s">
        <v>5</v>
      </c>
      <c r="I305" s="1">
        <v>65.06</v>
      </c>
      <c r="J305" s="1">
        <v>63.31</v>
      </c>
      <c r="K305" t="s">
        <v>6</v>
      </c>
    </row>
    <row r="306" spans="1:11">
      <c r="A306" t="s">
        <v>252</v>
      </c>
      <c r="B306">
        <v>386901</v>
      </c>
      <c r="C306" s="2" t="str">
        <f>"5054U"</f>
        <v>5054U</v>
      </c>
      <c r="D306" t="s">
        <v>318</v>
      </c>
      <c r="E306" t="s">
        <v>4</v>
      </c>
      <c r="F306">
        <v>24</v>
      </c>
      <c r="H306" t="s">
        <v>5</v>
      </c>
      <c r="I306" s="1">
        <v>58.25</v>
      </c>
      <c r="J306" s="1">
        <v>56.67</v>
      </c>
      <c r="K306" t="s">
        <v>6</v>
      </c>
    </row>
    <row r="307" spans="1:11">
      <c r="A307" t="s">
        <v>252</v>
      </c>
      <c r="B307">
        <v>379120</v>
      </c>
      <c r="C307" s="2" t="str">
        <f>"524UX"</f>
        <v>524UX</v>
      </c>
      <c r="D307" t="s">
        <v>319</v>
      </c>
      <c r="E307" t="s">
        <v>4</v>
      </c>
      <c r="F307">
        <v>11.04</v>
      </c>
      <c r="H307" t="s">
        <v>5</v>
      </c>
      <c r="I307" s="1">
        <v>49.61</v>
      </c>
      <c r="J307" s="1">
        <v>48.27</v>
      </c>
      <c r="K307" t="s">
        <v>6</v>
      </c>
    </row>
    <row r="308" spans="1:11">
      <c r="A308" t="s">
        <v>252</v>
      </c>
      <c r="B308">
        <v>389447</v>
      </c>
      <c r="C308" s="2" t="str">
        <f>"5280/1612UL"</f>
        <v>5280/1612UL</v>
      </c>
      <c r="D308" t="s">
        <v>320</v>
      </c>
      <c r="E308" t="s">
        <v>4</v>
      </c>
      <c r="F308">
        <v>42.66</v>
      </c>
      <c r="H308" t="s">
        <v>5</v>
      </c>
      <c r="I308" s="1">
        <v>183.9</v>
      </c>
      <c r="J308" s="1">
        <v>178.93</v>
      </c>
      <c r="K308" t="s">
        <v>6</v>
      </c>
    </row>
    <row r="309" spans="1:11">
      <c r="A309" t="s">
        <v>252</v>
      </c>
      <c r="B309">
        <v>387673</v>
      </c>
      <c r="C309" s="2" t="str">
        <f>"5280VU"</f>
        <v>5280VU</v>
      </c>
      <c r="D309" t="s">
        <v>321</v>
      </c>
      <c r="E309" t="s">
        <v>4</v>
      </c>
      <c r="F309">
        <v>42.65</v>
      </c>
      <c r="H309" t="s">
        <v>5</v>
      </c>
      <c r="I309" s="1">
        <v>155.06</v>
      </c>
      <c r="J309" s="1">
        <v>150.87</v>
      </c>
      <c r="K309" t="s">
        <v>6</v>
      </c>
    </row>
    <row r="310" spans="1:11">
      <c r="A310" t="s">
        <v>252</v>
      </c>
      <c r="B310">
        <v>379121</v>
      </c>
      <c r="C310" s="2" t="str">
        <f>"5281/931U"</f>
        <v>5281/931U</v>
      </c>
      <c r="D310" t="s">
        <v>322</v>
      </c>
      <c r="E310" t="s">
        <v>4</v>
      </c>
      <c r="F310">
        <v>27.45</v>
      </c>
      <c r="H310" t="s">
        <v>5</v>
      </c>
      <c r="I310" s="1">
        <v>105.97</v>
      </c>
      <c r="J310" s="1">
        <v>103.11</v>
      </c>
      <c r="K310" t="s">
        <v>6</v>
      </c>
    </row>
    <row r="311" spans="1:11">
      <c r="A311" t="s">
        <v>252</v>
      </c>
      <c r="B311">
        <v>379122</v>
      </c>
      <c r="C311" s="2" t="str">
        <f>"5281/932U"</f>
        <v>5281/932U</v>
      </c>
      <c r="D311" t="s">
        <v>323</v>
      </c>
      <c r="E311" t="s">
        <v>4</v>
      </c>
      <c r="F311">
        <v>27.45</v>
      </c>
      <c r="H311" t="s">
        <v>5</v>
      </c>
      <c r="I311" s="1">
        <v>105.97</v>
      </c>
      <c r="J311" s="1">
        <v>103.11</v>
      </c>
      <c r="K311" t="s">
        <v>6</v>
      </c>
    </row>
    <row r="312" spans="1:11">
      <c r="A312" t="s">
        <v>252</v>
      </c>
      <c r="B312">
        <v>379123</v>
      </c>
      <c r="C312" s="2" t="str">
        <f>"5281U"</f>
        <v>5281U</v>
      </c>
      <c r="D312" t="s">
        <v>324</v>
      </c>
      <c r="E312" t="s">
        <v>4</v>
      </c>
      <c r="F312">
        <v>27.45</v>
      </c>
      <c r="H312" t="s">
        <v>5</v>
      </c>
      <c r="I312" s="1">
        <v>87.01</v>
      </c>
      <c r="J312" s="1">
        <v>84.66</v>
      </c>
      <c r="K312" t="s">
        <v>6</v>
      </c>
    </row>
    <row r="313" spans="1:11">
      <c r="A313" t="s">
        <v>252</v>
      </c>
      <c r="B313">
        <v>379124</v>
      </c>
      <c r="C313" s="2" t="str">
        <f>"5282/928U"</f>
        <v>5282/928U</v>
      </c>
      <c r="D313" t="s">
        <v>325</v>
      </c>
      <c r="E313" t="s">
        <v>4</v>
      </c>
      <c r="F313">
        <v>23.33</v>
      </c>
      <c r="H313" t="s">
        <v>5</v>
      </c>
      <c r="I313" s="1">
        <v>75.84</v>
      </c>
      <c r="J313" s="1">
        <v>73.790000000000006</v>
      </c>
      <c r="K313" t="s">
        <v>6</v>
      </c>
    </row>
    <row r="314" spans="1:11">
      <c r="A314" t="s">
        <v>252</v>
      </c>
      <c r="B314">
        <v>379126</v>
      </c>
      <c r="C314" s="2" t="str">
        <f>"5282U"</f>
        <v>5282U</v>
      </c>
      <c r="D314" t="s">
        <v>326</v>
      </c>
      <c r="E314" t="s">
        <v>4</v>
      </c>
      <c r="F314">
        <v>23.33</v>
      </c>
      <c r="H314" t="s">
        <v>5</v>
      </c>
      <c r="I314" s="1">
        <v>62.6</v>
      </c>
      <c r="J314" s="1">
        <v>60.91</v>
      </c>
      <c r="K314" t="s">
        <v>6</v>
      </c>
    </row>
    <row r="315" spans="1:11">
      <c r="A315" t="s">
        <v>252</v>
      </c>
      <c r="B315">
        <v>379127</v>
      </c>
      <c r="C315" s="2" t="str">
        <f>"562U"</f>
        <v>562U</v>
      </c>
      <c r="D315" t="s">
        <v>327</v>
      </c>
      <c r="E315" t="s">
        <v>4</v>
      </c>
      <c r="F315">
        <v>40</v>
      </c>
      <c r="H315" t="s">
        <v>5</v>
      </c>
      <c r="I315" s="1">
        <v>107.92</v>
      </c>
      <c r="J315" s="1">
        <v>105.01</v>
      </c>
      <c r="K315" t="s">
        <v>6</v>
      </c>
    </row>
    <row r="316" spans="1:11">
      <c r="A316" t="s">
        <v>252</v>
      </c>
      <c r="B316">
        <v>379128</v>
      </c>
      <c r="C316" s="2" t="str">
        <f>"563FU"</f>
        <v>563FU</v>
      </c>
      <c r="D316" t="s">
        <v>328</v>
      </c>
      <c r="E316" t="s">
        <v>4</v>
      </c>
      <c r="F316">
        <v>31</v>
      </c>
      <c r="H316" t="s">
        <v>5</v>
      </c>
      <c r="I316" s="1">
        <v>104.61</v>
      </c>
      <c r="J316" s="1">
        <v>101.78</v>
      </c>
      <c r="K316" t="s">
        <v>6</v>
      </c>
    </row>
    <row r="317" spans="1:11">
      <c r="A317" t="s">
        <v>252</v>
      </c>
      <c r="B317">
        <v>379129</v>
      </c>
      <c r="C317" s="2" t="str">
        <f>"56EU"</f>
        <v>56EU</v>
      </c>
      <c r="D317" t="s">
        <v>329</v>
      </c>
      <c r="E317" t="s">
        <v>4</v>
      </c>
      <c r="F317">
        <v>14.76</v>
      </c>
      <c r="H317" t="s">
        <v>5</v>
      </c>
      <c r="I317" s="1">
        <v>55.32</v>
      </c>
      <c r="J317" s="1">
        <v>53.83</v>
      </c>
      <c r="K317" t="s">
        <v>6</v>
      </c>
    </row>
    <row r="318" spans="1:11">
      <c r="A318" t="s">
        <v>252</v>
      </c>
      <c r="B318">
        <v>379130</v>
      </c>
      <c r="C318" s="2" t="str">
        <f>"575GU"</f>
        <v>575GU</v>
      </c>
      <c r="D318" t="s">
        <v>330</v>
      </c>
      <c r="E318" t="s">
        <v>4</v>
      </c>
      <c r="F318">
        <v>21.77</v>
      </c>
      <c r="H318" t="s">
        <v>5</v>
      </c>
      <c r="I318" s="1">
        <v>103.44</v>
      </c>
      <c r="J318" s="1">
        <v>100.65</v>
      </c>
      <c r="K318" t="s">
        <v>6</v>
      </c>
    </row>
    <row r="319" spans="1:11">
      <c r="A319" t="s">
        <v>252</v>
      </c>
      <c r="B319">
        <v>379132</v>
      </c>
      <c r="C319" s="2" t="str">
        <f>"6099U"</f>
        <v>6099U</v>
      </c>
      <c r="D319" t="s">
        <v>331</v>
      </c>
      <c r="E319" t="s">
        <v>4</v>
      </c>
      <c r="F319">
        <v>7.99</v>
      </c>
      <c r="H319" t="s">
        <v>5</v>
      </c>
      <c r="I319" s="1">
        <v>43.9</v>
      </c>
      <c r="J319" s="1">
        <v>42.71</v>
      </c>
      <c r="K319" t="s">
        <v>6</v>
      </c>
    </row>
    <row r="320" spans="1:11">
      <c r="A320" t="s">
        <v>252</v>
      </c>
      <c r="B320">
        <v>425571</v>
      </c>
      <c r="C320" s="2" t="str">
        <f>"68347"</f>
        <v>68347</v>
      </c>
      <c r="D320" t="s">
        <v>332</v>
      </c>
      <c r="E320" t="s">
        <v>4</v>
      </c>
      <c r="F320">
        <v>14.78</v>
      </c>
      <c r="H320" t="s">
        <v>5</v>
      </c>
      <c r="I320" s="1">
        <v>30.32</v>
      </c>
      <c r="J320" s="1">
        <v>29.51</v>
      </c>
      <c r="K320" t="s">
        <v>6</v>
      </c>
    </row>
    <row r="321" spans="1:11">
      <c r="A321" t="s">
        <v>252</v>
      </c>
      <c r="B321">
        <v>378990</v>
      </c>
      <c r="C321" s="2" t="str">
        <f>"68349"</f>
        <v>68349</v>
      </c>
      <c r="D321" t="s">
        <v>333</v>
      </c>
      <c r="E321" t="s">
        <v>4</v>
      </c>
      <c r="F321">
        <v>9.75</v>
      </c>
      <c r="H321" t="s">
        <v>5</v>
      </c>
      <c r="I321" s="1">
        <v>29.16</v>
      </c>
      <c r="J321" s="1">
        <v>28.37</v>
      </c>
      <c r="K321" t="s">
        <v>6</v>
      </c>
    </row>
    <row r="322" spans="1:11">
      <c r="A322" t="s">
        <v>252</v>
      </c>
      <c r="B322">
        <v>385609</v>
      </c>
      <c r="C322" s="2" t="str">
        <f>"69349T"</f>
        <v>69349T</v>
      </c>
      <c r="D322" t="s">
        <v>334</v>
      </c>
      <c r="E322" t="s">
        <v>4</v>
      </c>
      <c r="F322">
        <v>5.6</v>
      </c>
      <c r="H322" t="s">
        <v>5</v>
      </c>
      <c r="I322" s="1">
        <v>14.09</v>
      </c>
      <c r="J322" s="1">
        <v>13.71</v>
      </c>
      <c r="K322" t="s">
        <v>6</v>
      </c>
    </row>
    <row r="323" spans="1:11">
      <c r="A323" t="s">
        <v>252</v>
      </c>
      <c r="B323">
        <v>382870</v>
      </c>
      <c r="C323" s="2" t="str">
        <f>"69372T"</f>
        <v>69372T</v>
      </c>
      <c r="D323" t="s">
        <v>335</v>
      </c>
      <c r="E323" t="s">
        <v>4</v>
      </c>
      <c r="F323">
        <v>10.93</v>
      </c>
      <c r="H323" t="s">
        <v>5</v>
      </c>
      <c r="I323" s="1">
        <v>22.85</v>
      </c>
      <c r="J323" s="1">
        <v>22.24</v>
      </c>
      <c r="K323" t="s">
        <v>6</v>
      </c>
    </row>
    <row r="324" spans="1:11">
      <c r="A324" t="s">
        <v>252</v>
      </c>
      <c r="B324">
        <v>400256</v>
      </c>
      <c r="C324" s="2" t="str">
        <f>"69590R"</f>
        <v>69590R</v>
      </c>
      <c r="D324" t="s">
        <v>336</v>
      </c>
      <c r="E324" t="s">
        <v>4</v>
      </c>
      <c r="F324">
        <v>15.28</v>
      </c>
      <c r="H324" t="s">
        <v>5</v>
      </c>
      <c r="I324" s="1">
        <v>44.42</v>
      </c>
      <c r="J324" s="1">
        <v>43.22</v>
      </c>
      <c r="K324" t="s">
        <v>6</v>
      </c>
    </row>
    <row r="325" spans="1:11">
      <c r="A325" t="s">
        <v>252</v>
      </c>
      <c r="B325">
        <v>379135</v>
      </c>
      <c r="C325" s="2" t="str">
        <f>"7176FU"</f>
        <v>7176FU</v>
      </c>
      <c r="D325" t="s">
        <v>337</v>
      </c>
      <c r="E325" t="s">
        <v>4</v>
      </c>
      <c r="F325">
        <v>25.53</v>
      </c>
      <c r="H325" t="s">
        <v>5</v>
      </c>
      <c r="I325" s="1">
        <v>31.19</v>
      </c>
      <c r="J325" s="1">
        <v>30.58</v>
      </c>
      <c r="K325" t="s">
        <v>6</v>
      </c>
    </row>
    <row r="326" spans="1:11">
      <c r="A326" t="s">
        <v>252</v>
      </c>
      <c r="B326">
        <v>379141</v>
      </c>
      <c r="C326" s="2" t="str">
        <f>"7221M"</f>
        <v>7221M</v>
      </c>
      <c r="D326" t="s">
        <v>291</v>
      </c>
      <c r="E326" t="s">
        <v>4</v>
      </c>
      <c r="F326">
        <v>23</v>
      </c>
      <c r="H326" t="s">
        <v>5</v>
      </c>
      <c r="I326" s="1">
        <v>114.74</v>
      </c>
      <c r="J326" s="1">
        <v>111.64</v>
      </c>
      <c r="K326" t="s">
        <v>6</v>
      </c>
    </row>
    <row r="327" spans="1:11">
      <c r="A327" t="s">
        <v>252</v>
      </c>
      <c r="B327">
        <v>379143</v>
      </c>
      <c r="C327" s="2" t="str">
        <f>"72U"</f>
        <v>72U</v>
      </c>
      <c r="D327" t="s">
        <v>338</v>
      </c>
      <c r="E327" t="s">
        <v>4</v>
      </c>
      <c r="F327">
        <v>21</v>
      </c>
      <c r="H327" t="s">
        <v>5</v>
      </c>
      <c r="I327" s="1">
        <v>72.27</v>
      </c>
      <c r="J327" s="1">
        <v>70.319999999999993</v>
      </c>
      <c r="K327" t="s">
        <v>6</v>
      </c>
    </row>
    <row r="328" spans="1:11">
      <c r="A328" t="s">
        <v>252</v>
      </c>
      <c r="B328">
        <v>382816</v>
      </c>
      <c r="C328" s="2" t="str">
        <f>"73010"</f>
        <v>73010</v>
      </c>
      <c r="D328" t="s">
        <v>339</v>
      </c>
      <c r="E328" t="s">
        <v>4</v>
      </c>
      <c r="F328">
        <v>21.6</v>
      </c>
      <c r="H328" t="s">
        <v>5</v>
      </c>
      <c r="I328" s="1">
        <v>75.19</v>
      </c>
      <c r="J328" s="1">
        <v>73.16</v>
      </c>
      <c r="K328" t="s">
        <v>6</v>
      </c>
    </row>
    <row r="329" spans="1:11">
      <c r="A329" t="s">
        <v>252</v>
      </c>
      <c r="B329">
        <v>379146</v>
      </c>
      <c r="C329" s="2" t="str">
        <f>"73017"</f>
        <v>73017</v>
      </c>
      <c r="D329" t="s">
        <v>340</v>
      </c>
      <c r="E329" t="s">
        <v>4</v>
      </c>
      <c r="F329">
        <v>34.92</v>
      </c>
      <c r="H329" t="s">
        <v>5</v>
      </c>
      <c r="I329" s="1">
        <v>80.849999999999994</v>
      </c>
      <c r="J329" s="1">
        <v>79.260000000000005</v>
      </c>
      <c r="K329" t="s">
        <v>6</v>
      </c>
    </row>
    <row r="330" spans="1:11">
      <c r="A330" t="s">
        <v>252</v>
      </c>
      <c r="B330">
        <v>400726</v>
      </c>
      <c r="C330" s="2" t="str">
        <f>"73020"</f>
        <v>73020</v>
      </c>
      <c r="D330" t="s">
        <v>341</v>
      </c>
      <c r="E330" t="s">
        <v>4</v>
      </c>
      <c r="F330">
        <v>31.47</v>
      </c>
      <c r="H330" t="s">
        <v>5</v>
      </c>
      <c r="I330" s="1">
        <v>80.39</v>
      </c>
      <c r="J330" s="1">
        <v>78.22</v>
      </c>
      <c r="K330" t="s">
        <v>6</v>
      </c>
    </row>
    <row r="331" spans="1:11">
      <c r="A331" t="s">
        <v>252</v>
      </c>
      <c r="B331">
        <v>379153</v>
      </c>
      <c r="C331" s="2" t="str">
        <f>"7409U"</f>
        <v>7409U</v>
      </c>
      <c r="D331" t="s">
        <v>342</v>
      </c>
      <c r="E331" t="s">
        <v>4</v>
      </c>
      <c r="F331">
        <v>21.96</v>
      </c>
      <c r="H331" t="s">
        <v>5</v>
      </c>
      <c r="I331" s="1">
        <v>61.36</v>
      </c>
      <c r="J331" s="1">
        <v>59.71</v>
      </c>
      <c r="K331" t="s">
        <v>6</v>
      </c>
    </row>
    <row r="332" spans="1:11">
      <c r="A332" t="s">
        <v>252</v>
      </c>
      <c r="B332">
        <v>379154</v>
      </c>
      <c r="C332" s="2" t="str">
        <f>"7410U"</f>
        <v>7410U</v>
      </c>
      <c r="D332" t="s">
        <v>343</v>
      </c>
      <c r="E332" t="s">
        <v>4</v>
      </c>
      <c r="F332">
        <v>23.08</v>
      </c>
      <c r="H332" t="s">
        <v>5</v>
      </c>
      <c r="I332" s="1">
        <v>61.36</v>
      </c>
      <c r="J332" s="1">
        <v>59.71</v>
      </c>
      <c r="K332" t="s">
        <v>6</v>
      </c>
    </row>
    <row r="333" spans="1:11">
      <c r="A333" t="s">
        <v>252</v>
      </c>
      <c r="B333">
        <v>379155</v>
      </c>
      <c r="C333" s="2" t="str">
        <f>"7412U"</f>
        <v>7412U</v>
      </c>
      <c r="D333" t="s">
        <v>344</v>
      </c>
      <c r="E333" t="s">
        <v>4</v>
      </c>
      <c r="F333">
        <v>27</v>
      </c>
      <c r="H333" t="s">
        <v>5</v>
      </c>
      <c r="I333" s="1">
        <v>66.819999999999993</v>
      </c>
      <c r="J333" s="1">
        <v>65.010000000000005</v>
      </c>
      <c r="K333" t="s">
        <v>6</v>
      </c>
    </row>
    <row r="334" spans="1:11">
      <c r="A334" t="s">
        <v>252</v>
      </c>
      <c r="B334">
        <v>395499</v>
      </c>
      <c r="C334" s="2" t="str">
        <f>"7511U"</f>
        <v>7511U</v>
      </c>
      <c r="D334" t="s">
        <v>345</v>
      </c>
      <c r="E334" t="s">
        <v>4</v>
      </c>
      <c r="F334">
        <v>21.17</v>
      </c>
      <c r="H334" t="s">
        <v>5</v>
      </c>
      <c r="I334" s="1">
        <v>61.95</v>
      </c>
      <c r="J334" s="1">
        <v>60.27</v>
      </c>
      <c r="K334" t="s">
        <v>6</v>
      </c>
    </row>
    <row r="335" spans="1:11">
      <c r="A335" t="s">
        <v>252</v>
      </c>
      <c r="B335">
        <v>379159</v>
      </c>
      <c r="C335" s="2" t="str">
        <f>"7513U"</f>
        <v>7513U</v>
      </c>
      <c r="D335" t="s">
        <v>346</v>
      </c>
      <c r="E335" t="s">
        <v>4</v>
      </c>
      <c r="F335">
        <v>27.72</v>
      </c>
      <c r="H335" t="s">
        <v>5</v>
      </c>
      <c r="I335" s="1">
        <v>77.53</v>
      </c>
      <c r="J335" s="1">
        <v>75.44</v>
      </c>
      <c r="K335" t="s">
        <v>6</v>
      </c>
    </row>
    <row r="336" spans="1:11">
      <c r="A336" t="s">
        <v>252</v>
      </c>
      <c r="B336">
        <v>379160</v>
      </c>
      <c r="C336" s="2" t="str">
        <f>"7514U"</f>
        <v>7514U</v>
      </c>
      <c r="D336" t="s">
        <v>347</v>
      </c>
      <c r="E336" t="s">
        <v>4</v>
      </c>
      <c r="F336">
        <v>30</v>
      </c>
      <c r="H336" t="s">
        <v>5</v>
      </c>
      <c r="I336" s="1">
        <v>91.95</v>
      </c>
      <c r="J336" s="1">
        <v>89.46</v>
      </c>
      <c r="K336" t="s">
        <v>6</v>
      </c>
    </row>
    <row r="337" spans="1:11">
      <c r="A337" t="s">
        <v>252</v>
      </c>
      <c r="B337">
        <v>378993</v>
      </c>
      <c r="C337" s="2" t="str">
        <f>"77174"</f>
        <v>77174</v>
      </c>
      <c r="D337" t="s">
        <v>348</v>
      </c>
      <c r="E337" t="s">
        <v>4</v>
      </c>
      <c r="F337">
        <v>42.45</v>
      </c>
      <c r="H337" t="s">
        <v>5</v>
      </c>
      <c r="I337" s="1">
        <v>53.21</v>
      </c>
      <c r="J337" s="1">
        <v>52.17</v>
      </c>
      <c r="K337" t="s">
        <v>6</v>
      </c>
    </row>
    <row r="338" spans="1:11">
      <c r="A338" t="s">
        <v>252</v>
      </c>
      <c r="B338">
        <v>379174</v>
      </c>
      <c r="C338" s="2" t="str">
        <f>"7729U"</f>
        <v>7729U</v>
      </c>
      <c r="D338" t="s">
        <v>349</v>
      </c>
      <c r="E338" t="s">
        <v>4</v>
      </c>
      <c r="F338">
        <v>35</v>
      </c>
      <c r="H338" t="s">
        <v>5</v>
      </c>
      <c r="I338" s="1">
        <v>80.260000000000005</v>
      </c>
      <c r="J338" s="1">
        <v>78.09</v>
      </c>
      <c r="K338" t="s">
        <v>6</v>
      </c>
    </row>
    <row r="339" spans="1:11">
      <c r="A339" t="s">
        <v>252</v>
      </c>
      <c r="B339">
        <v>379176</v>
      </c>
      <c r="C339" s="2" t="str">
        <f>"7730U"</f>
        <v>7730U</v>
      </c>
      <c r="D339" t="s">
        <v>350</v>
      </c>
      <c r="E339" t="s">
        <v>4</v>
      </c>
      <c r="F339">
        <v>30</v>
      </c>
      <c r="H339" t="s">
        <v>5</v>
      </c>
      <c r="I339" s="1">
        <v>80.260000000000005</v>
      </c>
      <c r="J339" s="1">
        <v>78.09</v>
      </c>
      <c r="K339" t="s">
        <v>6</v>
      </c>
    </row>
    <row r="340" spans="1:11">
      <c r="A340" t="s">
        <v>252</v>
      </c>
      <c r="B340">
        <v>379179</v>
      </c>
      <c r="C340" s="2" t="str">
        <f>"7732U"</f>
        <v>7732U</v>
      </c>
      <c r="D340" t="s">
        <v>351</v>
      </c>
      <c r="E340" t="s">
        <v>4</v>
      </c>
      <c r="F340">
        <v>36</v>
      </c>
      <c r="H340" t="s">
        <v>5</v>
      </c>
      <c r="I340" s="1">
        <v>75.78</v>
      </c>
      <c r="J340" s="1">
        <v>73.739999999999995</v>
      </c>
      <c r="K340" t="s">
        <v>6</v>
      </c>
    </row>
    <row r="341" spans="1:11">
      <c r="A341" t="s">
        <v>252</v>
      </c>
      <c r="B341">
        <v>379180</v>
      </c>
      <c r="C341" s="2" t="str">
        <f>"7733U"</f>
        <v>7733U</v>
      </c>
      <c r="D341" t="s">
        <v>352</v>
      </c>
      <c r="E341" t="s">
        <v>4</v>
      </c>
      <c r="F341">
        <v>34</v>
      </c>
      <c r="H341" t="s">
        <v>5</v>
      </c>
      <c r="I341" s="1">
        <v>86.88</v>
      </c>
      <c r="J341" s="1">
        <v>84.54</v>
      </c>
      <c r="K341" t="s">
        <v>6</v>
      </c>
    </row>
    <row r="342" spans="1:11">
      <c r="A342" t="s">
        <v>252</v>
      </c>
      <c r="B342">
        <v>378994</v>
      </c>
      <c r="C342" s="2" t="str">
        <f>"77420"</f>
        <v>77420</v>
      </c>
      <c r="D342" t="s">
        <v>353</v>
      </c>
      <c r="E342" t="s">
        <v>4</v>
      </c>
      <c r="F342">
        <v>28</v>
      </c>
      <c r="H342" t="s">
        <v>5</v>
      </c>
      <c r="I342" s="1">
        <v>52.18</v>
      </c>
      <c r="J342" s="1">
        <v>51.16</v>
      </c>
      <c r="K342" t="s">
        <v>6</v>
      </c>
    </row>
    <row r="343" spans="1:11">
      <c r="A343" t="s">
        <v>252</v>
      </c>
      <c r="B343">
        <v>383500</v>
      </c>
      <c r="C343" s="2" t="str">
        <f>"77422"</f>
        <v>77422</v>
      </c>
      <c r="D343" t="s">
        <v>354</v>
      </c>
      <c r="E343" t="s">
        <v>4</v>
      </c>
      <c r="F343">
        <v>30.58</v>
      </c>
      <c r="H343" t="s">
        <v>5</v>
      </c>
      <c r="I343" s="1">
        <v>55.36</v>
      </c>
      <c r="J343" s="1">
        <v>54.28</v>
      </c>
      <c r="K343" t="s">
        <v>6</v>
      </c>
    </row>
    <row r="344" spans="1:11">
      <c r="A344" t="s">
        <v>252</v>
      </c>
      <c r="B344">
        <v>379183</v>
      </c>
      <c r="C344" s="2" t="str">
        <f>"7745U"</f>
        <v>7745U</v>
      </c>
      <c r="D344" t="s">
        <v>355</v>
      </c>
      <c r="E344" t="s">
        <v>4</v>
      </c>
      <c r="F344">
        <v>38</v>
      </c>
      <c r="H344" t="s">
        <v>5</v>
      </c>
      <c r="I344" s="1">
        <v>87.86</v>
      </c>
      <c r="J344" s="1">
        <v>85.48</v>
      </c>
      <c r="K344" t="s">
        <v>6</v>
      </c>
    </row>
    <row r="345" spans="1:11">
      <c r="A345" t="s">
        <v>252</v>
      </c>
      <c r="B345">
        <v>378999</v>
      </c>
      <c r="C345" s="2" t="str">
        <f>"77722"</f>
        <v>77722</v>
      </c>
      <c r="D345" t="s">
        <v>356</v>
      </c>
      <c r="E345" t="s">
        <v>4</v>
      </c>
      <c r="F345">
        <v>37</v>
      </c>
      <c r="H345" t="s">
        <v>5</v>
      </c>
      <c r="I345" s="1">
        <v>87.66</v>
      </c>
      <c r="J345" s="1">
        <v>85.29</v>
      </c>
      <c r="K345" t="s">
        <v>6</v>
      </c>
    </row>
    <row r="346" spans="1:11">
      <c r="A346" t="s">
        <v>252</v>
      </c>
      <c r="B346">
        <v>379000</v>
      </c>
      <c r="C346" s="2" t="str">
        <f>"77746"</f>
        <v>77746</v>
      </c>
      <c r="D346" t="s">
        <v>357</v>
      </c>
      <c r="E346" t="s">
        <v>4</v>
      </c>
      <c r="F346">
        <v>41.04</v>
      </c>
      <c r="H346" t="s">
        <v>5</v>
      </c>
      <c r="I346" s="1">
        <v>119.03</v>
      </c>
      <c r="J346" s="1">
        <v>115.81</v>
      </c>
      <c r="K346" t="s">
        <v>6</v>
      </c>
    </row>
    <row r="347" spans="1:11">
      <c r="A347" t="s">
        <v>252</v>
      </c>
      <c r="B347">
        <v>379001</v>
      </c>
      <c r="C347" s="2" t="str">
        <f>"77770"</f>
        <v>77770</v>
      </c>
      <c r="D347" t="s">
        <v>358</v>
      </c>
      <c r="E347" t="s">
        <v>4</v>
      </c>
      <c r="F347">
        <v>33.01</v>
      </c>
      <c r="H347" t="s">
        <v>5</v>
      </c>
      <c r="I347" s="1">
        <v>74.81</v>
      </c>
      <c r="J347" s="1">
        <v>72.78</v>
      </c>
      <c r="K347" t="s">
        <v>6</v>
      </c>
    </row>
    <row r="348" spans="1:11">
      <c r="A348" t="s">
        <v>252</v>
      </c>
      <c r="B348">
        <v>379188</v>
      </c>
      <c r="C348" s="2" t="str">
        <f>"77787"</f>
        <v>77787</v>
      </c>
      <c r="D348" t="s">
        <v>359</v>
      </c>
      <c r="E348" t="s">
        <v>4</v>
      </c>
      <c r="F348">
        <v>26.39</v>
      </c>
      <c r="H348" t="s">
        <v>5</v>
      </c>
      <c r="I348" s="1">
        <v>70.13</v>
      </c>
      <c r="J348" s="1">
        <v>68.23</v>
      </c>
      <c r="K348" t="s">
        <v>6</v>
      </c>
    </row>
    <row r="349" spans="1:11">
      <c r="A349" t="s">
        <v>252</v>
      </c>
      <c r="B349">
        <v>379191</v>
      </c>
      <c r="C349" s="2" t="str">
        <f>"77788R"</f>
        <v>77788R</v>
      </c>
      <c r="D349" t="s">
        <v>360</v>
      </c>
      <c r="E349" t="s">
        <v>4</v>
      </c>
      <c r="F349">
        <v>23.57</v>
      </c>
      <c r="H349" t="s">
        <v>5</v>
      </c>
      <c r="I349" s="1">
        <v>70.319999999999993</v>
      </c>
      <c r="J349" s="1">
        <v>68.42</v>
      </c>
      <c r="K349" t="s">
        <v>6</v>
      </c>
    </row>
    <row r="350" spans="1:11">
      <c r="A350" t="s">
        <v>252</v>
      </c>
      <c r="B350">
        <v>379192</v>
      </c>
      <c r="C350" s="2" t="str">
        <f>"77790R"</f>
        <v>77790R</v>
      </c>
      <c r="D350" t="s">
        <v>361</v>
      </c>
      <c r="E350" t="s">
        <v>4</v>
      </c>
      <c r="F350">
        <v>38.67</v>
      </c>
      <c r="H350" t="s">
        <v>5</v>
      </c>
      <c r="I350" s="1">
        <v>86.1</v>
      </c>
      <c r="J350" s="1">
        <v>83.78</v>
      </c>
      <c r="K350" t="s">
        <v>6</v>
      </c>
    </row>
    <row r="351" spans="1:11">
      <c r="A351" t="s">
        <v>252</v>
      </c>
      <c r="B351">
        <v>379193</v>
      </c>
      <c r="C351" s="2" t="str">
        <f>"77792R"</f>
        <v>77792R</v>
      </c>
      <c r="D351" t="s">
        <v>362</v>
      </c>
      <c r="E351" t="s">
        <v>4</v>
      </c>
      <c r="F351">
        <v>37.78</v>
      </c>
      <c r="H351" t="s">
        <v>5</v>
      </c>
      <c r="I351" s="1">
        <v>82.21</v>
      </c>
      <c r="J351" s="1">
        <v>79.989999999999995</v>
      </c>
      <c r="K351" t="s">
        <v>6</v>
      </c>
    </row>
    <row r="352" spans="1:11">
      <c r="A352" t="s">
        <v>252</v>
      </c>
      <c r="B352">
        <v>379002</v>
      </c>
      <c r="C352" s="2" t="str">
        <f>"77794"</f>
        <v>77794</v>
      </c>
      <c r="D352" t="s">
        <v>363</v>
      </c>
      <c r="E352" t="s">
        <v>4</v>
      </c>
      <c r="F352">
        <v>33.729999999999997</v>
      </c>
      <c r="H352" t="s">
        <v>5</v>
      </c>
      <c r="I352" s="1">
        <v>87.47</v>
      </c>
      <c r="J352" s="1">
        <v>85.1</v>
      </c>
      <c r="K352" t="s">
        <v>6</v>
      </c>
    </row>
    <row r="353" spans="1:11">
      <c r="A353" t="s">
        <v>252</v>
      </c>
      <c r="B353">
        <v>386405</v>
      </c>
      <c r="C353" s="2" t="str">
        <f>"77796"</f>
        <v>77796</v>
      </c>
      <c r="D353" t="s">
        <v>364</v>
      </c>
      <c r="E353" t="s">
        <v>4</v>
      </c>
      <c r="F353">
        <v>37.229999999999997</v>
      </c>
      <c r="H353" t="s">
        <v>5</v>
      </c>
      <c r="I353" s="1">
        <v>112.6</v>
      </c>
      <c r="J353" s="1">
        <v>109.55</v>
      </c>
      <c r="K353" t="s">
        <v>6</v>
      </c>
    </row>
    <row r="354" spans="1:11">
      <c r="A354" t="s">
        <v>252</v>
      </c>
      <c r="B354">
        <v>379195</v>
      </c>
      <c r="C354" s="2" t="str">
        <f>"799U"</f>
        <v>799U</v>
      </c>
      <c r="D354" t="s">
        <v>365</v>
      </c>
      <c r="E354" t="s">
        <v>4</v>
      </c>
      <c r="F354">
        <v>30</v>
      </c>
      <c r="H354" t="s">
        <v>5</v>
      </c>
      <c r="I354" s="1">
        <v>78.12</v>
      </c>
      <c r="J354" s="1">
        <v>76.010000000000005</v>
      </c>
      <c r="K354" t="s">
        <v>6</v>
      </c>
    </row>
    <row r="355" spans="1:11">
      <c r="A355" t="s">
        <v>252</v>
      </c>
      <c r="B355">
        <v>379005</v>
      </c>
      <c r="C355" s="2" t="str">
        <f>"80009"</f>
        <v>80009</v>
      </c>
      <c r="D355" t="s">
        <v>366</v>
      </c>
      <c r="E355" t="s">
        <v>4</v>
      </c>
      <c r="F355">
        <v>24.39</v>
      </c>
      <c r="H355" t="s">
        <v>5</v>
      </c>
      <c r="I355" s="1">
        <v>76.95</v>
      </c>
      <c r="J355" s="1">
        <v>74.87</v>
      </c>
      <c r="K355" t="s">
        <v>6</v>
      </c>
    </row>
    <row r="356" spans="1:11">
      <c r="A356" t="s">
        <v>252</v>
      </c>
      <c r="B356">
        <v>379007</v>
      </c>
      <c r="C356" s="2" t="str">
        <f>"80011"</f>
        <v>80011</v>
      </c>
      <c r="D356" t="s">
        <v>367</v>
      </c>
      <c r="E356" t="s">
        <v>4</v>
      </c>
      <c r="F356">
        <v>37.049999999999997</v>
      </c>
      <c r="H356" t="s">
        <v>5</v>
      </c>
      <c r="I356" s="1">
        <v>166.56</v>
      </c>
      <c r="J356" s="1">
        <v>162.06</v>
      </c>
      <c r="K356" t="s">
        <v>6</v>
      </c>
    </row>
    <row r="357" spans="1:11">
      <c r="A357" t="s">
        <v>252</v>
      </c>
      <c r="B357">
        <v>379008</v>
      </c>
      <c r="C357" s="2" t="str">
        <f>"80012"</f>
        <v>80012</v>
      </c>
      <c r="D357" t="s">
        <v>368</v>
      </c>
      <c r="E357" t="s">
        <v>4</v>
      </c>
      <c r="F357">
        <v>25.13</v>
      </c>
      <c r="H357" t="s">
        <v>5</v>
      </c>
      <c r="I357" s="1">
        <v>99.74</v>
      </c>
      <c r="J357" s="1">
        <v>97.04</v>
      </c>
      <c r="K357" t="s">
        <v>6</v>
      </c>
    </row>
    <row r="358" spans="1:11">
      <c r="A358" t="s">
        <v>252</v>
      </c>
      <c r="B358">
        <v>379009</v>
      </c>
      <c r="C358" s="2" t="str">
        <f>"80013"</f>
        <v>80013</v>
      </c>
      <c r="D358" t="s">
        <v>369</v>
      </c>
      <c r="E358" t="s">
        <v>4</v>
      </c>
      <c r="F358">
        <v>13.28</v>
      </c>
      <c r="H358" t="s">
        <v>5</v>
      </c>
      <c r="I358" s="1">
        <v>87.66</v>
      </c>
      <c r="J358" s="1">
        <v>85.29</v>
      </c>
      <c r="K358" t="s">
        <v>6</v>
      </c>
    </row>
    <row r="359" spans="1:11">
      <c r="A359" t="s">
        <v>252</v>
      </c>
      <c r="B359">
        <v>379011</v>
      </c>
      <c r="C359" s="2" t="str">
        <f>"80016"</f>
        <v>80016</v>
      </c>
      <c r="D359" t="s">
        <v>370</v>
      </c>
      <c r="E359" t="s">
        <v>4</v>
      </c>
      <c r="F359">
        <v>37</v>
      </c>
      <c r="H359" t="s">
        <v>5</v>
      </c>
      <c r="I359" s="1">
        <v>129.94</v>
      </c>
      <c r="J359" s="1">
        <v>126.42</v>
      </c>
      <c r="K359" t="s">
        <v>6</v>
      </c>
    </row>
    <row r="360" spans="1:11">
      <c r="A360" t="s">
        <v>252</v>
      </c>
      <c r="B360">
        <v>379012</v>
      </c>
      <c r="C360" s="2" t="str">
        <f>"80018"</f>
        <v>80018</v>
      </c>
      <c r="D360" t="s">
        <v>371</v>
      </c>
      <c r="E360" t="s">
        <v>4</v>
      </c>
      <c r="F360">
        <v>11.06</v>
      </c>
      <c r="H360" t="s">
        <v>5</v>
      </c>
      <c r="I360" s="1">
        <v>87.66</v>
      </c>
      <c r="J360" s="1">
        <v>85.29</v>
      </c>
      <c r="K360" t="s">
        <v>6</v>
      </c>
    </row>
    <row r="361" spans="1:11">
      <c r="A361" t="s">
        <v>252</v>
      </c>
      <c r="B361">
        <v>379013</v>
      </c>
      <c r="C361" s="2" t="str">
        <f>"80019"</f>
        <v>80019</v>
      </c>
      <c r="D361" t="s">
        <v>372</v>
      </c>
      <c r="E361" t="s">
        <v>4</v>
      </c>
      <c r="F361">
        <v>9.75</v>
      </c>
      <c r="H361" t="s">
        <v>5</v>
      </c>
      <c r="I361" s="1">
        <v>87.66</v>
      </c>
      <c r="J361" s="1">
        <v>85.29</v>
      </c>
      <c r="K361" t="s">
        <v>6</v>
      </c>
    </row>
    <row r="362" spans="1:11">
      <c r="A362" t="s">
        <v>252</v>
      </c>
      <c r="B362">
        <v>379015</v>
      </c>
      <c r="C362" s="2" t="str">
        <f>"80021"</f>
        <v>80021</v>
      </c>
      <c r="D362" t="s">
        <v>373</v>
      </c>
      <c r="E362" t="s">
        <v>4</v>
      </c>
      <c r="F362">
        <v>12.99</v>
      </c>
      <c r="H362" t="s">
        <v>5</v>
      </c>
      <c r="I362" s="1">
        <v>87.66</v>
      </c>
      <c r="J362" s="1">
        <v>85.29</v>
      </c>
      <c r="K362" t="s">
        <v>6</v>
      </c>
    </row>
    <row r="363" spans="1:11">
      <c r="A363" t="s">
        <v>252</v>
      </c>
      <c r="B363">
        <v>394226</v>
      </c>
      <c r="C363" s="2" t="str">
        <f>"80142"</f>
        <v>80142</v>
      </c>
      <c r="D363" t="s">
        <v>374</v>
      </c>
      <c r="E363" t="s">
        <v>4</v>
      </c>
      <c r="F363">
        <v>14.76</v>
      </c>
      <c r="H363" t="s">
        <v>5</v>
      </c>
      <c r="I363" s="1">
        <v>61.96</v>
      </c>
      <c r="J363" s="1">
        <v>60.29</v>
      </c>
      <c r="K363" t="s">
        <v>6</v>
      </c>
    </row>
    <row r="364" spans="1:11">
      <c r="A364" t="s">
        <v>252</v>
      </c>
      <c r="B364">
        <v>390644</v>
      </c>
      <c r="C364" s="2" t="str">
        <f>"80226X"</f>
        <v>80226X</v>
      </c>
      <c r="D364" t="s">
        <v>375</v>
      </c>
      <c r="E364" t="s">
        <v>4</v>
      </c>
      <c r="F364">
        <v>7.32</v>
      </c>
      <c r="H364" t="s">
        <v>5</v>
      </c>
      <c r="I364" s="1">
        <v>51.43</v>
      </c>
      <c r="J364" s="1">
        <v>50.04</v>
      </c>
      <c r="K364" t="s">
        <v>6</v>
      </c>
    </row>
    <row r="365" spans="1:11">
      <c r="A365" t="s">
        <v>252</v>
      </c>
      <c r="B365">
        <v>387645</v>
      </c>
      <c r="C365" s="2" t="str">
        <f>"80278X"</f>
        <v>80278X</v>
      </c>
      <c r="D365" t="s">
        <v>376</v>
      </c>
      <c r="E365" t="s">
        <v>4</v>
      </c>
      <c r="F365">
        <v>7.32</v>
      </c>
      <c r="H365" t="s">
        <v>5</v>
      </c>
      <c r="I365" s="1">
        <v>61.3</v>
      </c>
      <c r="J365" s="1">
        <v>59.64</v>
      </c>
      <c r="K365" t="s">
        <v>6</v>
      </c>
    </row>
    <row r="366" spans="1:11">
      <c r="A366" t="s">
        <v>252</v>
      </c>
      <c r="B366">
        <v>426104</v>
      </c>
      <c r="C366" s="2" t="str">
        <f>"80436"</f>
        <v>80436</v>
      </c>
      <c r="D366" t="s">
        <v>377</v>
      </c>
      <c r="E366" t="s">
        <v>4</v>
      </c>
      <c r="F366">
        <v>22</v>
      </c>
      <c r="H366" t="s">
        <v>5</v>
      </c>
      <c r="I366" s="1">
        <v>60.65</v>
      </c>
      <c r="J366" s="1">
        <v>59.01</v>
      </c>
      <c r="K366" t="s">
        <v>6</v>
      </c>
    </row>
    <row r="367" spans="1:11">
      <c r="A367" t="s">
        <v>252</v>
      </c>
      <c r="B367">
        <v>379200</v>
      </c>
      <c r="C367" s="2" t="str">
        <f>"828U"</f>
        <v>828U</v>
      </c>
      <c r="D367" t="s">
        <v>378</v>
      </c>
      <c r="E367" t="s">
        <v>4</v>
      </c>
      <c r="F367">
        <v>16.100000000000001</v>
      </c>
      <c r="H367" t="s">
        <v>5</v>
      </c>
      <c r="I367" s="1">
        <v>79.48</v>
      </c>
      <c r="J367" s="1">
        <v>77.33</v>
      </c>
      <c r="K367" t="s">
        <v>6</v>
      </c>
    </row>
    <row r="368" spans="1:11">
      <c r="A368" t="s">
        <v>252</v>
      </c>
      <c r="B368">
        <v>379201</v>
      </c>
      <c r="C368" s="2" t="str">
        <f>"842U"</f>
        <v>842U</v>
      </c>
      <c r="D368" t="s">
        <v>379</v>
      </c>
      <c r="E368" t="s">
        <v>4</v>
      </c>
      <c r="F368">
        <v>29.52</v>
      </c>
      <c r="H368" t="s">
        <v>5</v>
      </c>
      <c r="I368" s="1">
        <v>107.14</v>
      </c>
      <c r="J368" s="1">
        <v>104.25</v>
      </c>
      <c r="K368" t="s">
        <v>6</v>
      </c>
    </row>
    <row r="369" spans="1:11">
      <c r="A369" t="s">
        <v>252</v>
      </c>
      <c r="B369">
        <v>379202</v>
      </c>
      <c r="C369" s="2" t="str">
        <f>"86238"</f>
        <v>86238</v>
      </c>
      <c r="D369" t="s">
        <v>380</v>
      </c>
      <c r="E369" t="s">
        <v>4</v>
      </c>
      <c r="F369">
        <v>6.38</v>
      </c>
      <c r="H369" t="s">
        <v>5</v>
      </c>
      <c r="I369" s="1">
        <v>23.44</v>
      </c>
      <c r="J369" s="1">
        <v>22.74</v>
      </c>
      <c r="K369" t="s">
        <v>6</v>
      </c>
    </row>
    <row r="370" spans="1:11">
      <c r="A370" t="s">
        <v>252</v>
      </c>
      <c r="B370">
        <v>458686</v>
      </c>
      <c r="C370" s="2" t="str">
        <f>"90004"</f>
        <v>90004</v>
      </c>
      <c r="D370" t="s">
        <v>381</v>
      </c>
      <c r="E370" t="s">
        <v>4</v>
      </c>
      <c r="F370">
        <v>22.97</v>
      </c>
      <c r="H370" t="s">
        <v>5</v>
      </c>
      <c r="I370" s="1">
        <v>51.82</v>
      </c>
      <c r="J370" s="1">
        <v>50.42</v>
      </c>
      <c r="K370" t="s">
        <v>6</v>
      </c>
    </row>
    <row r="371" spans="1:11">
      <c r="A371" t="s">
        <v>252</v>
      </c>
      <c r="B371">
        <v>458840</v>
      </c>
      <c r="C371" s="2" t="str">
        <f>"90005"</f>
        <v>90005</v>
      </c>
      <c r="D371" t="s">
        <v>382</v>
      </c>
      <c r="E371" t="s">
        <v>4</v>
      </c>
      <c r="F371">
        <v>19.98</v>
      </c>
      <c r="H371" t="s">
        <v>5</v>
      </c>
      <c r="I371" s="1">
        <v>45.39</v>
      </c>
      <c r="J371" s="1">
        <v>44.16</v>
      </c>
      <c r="K371" t="s">
        <v>6</v>
      </c>
    </row>
    <row r="372" spans="1:11">
      <c r="A372" t="s">
        <v>252</v>
      </c>
      <c r="B372">
        <v>458841</v>
      </c>
      <c r="C372" s="2" t="str">
        <f>"90006"</f>
        <v>90006</v>
      </c>
      <c r="D372" t="s">
        <v>383</v>
      </c>
      <c r="E372" t="s">
        <v>4</v>
      </c>
      <c r="F372">
        <v>17.55</v>
      </c>
      <c r="H372" t="s">
        <v>5</v>
      </c>
      <c r="I372" s="1">
        <v>69.94</v>
      </c>
      <c r="J372" s="1">
        <v>68.040000000000006</v>
      </c>
      <c r="K372" t="s">
        <v>6</v>
      </c>
    </row>
    <row r="373" spans="1:11">
      <c r="A373" t="s">
        <v>252</v>
      </c>
      <c r="B373">
        <v>458843</v>
      </c>
      <c r="C373" s="2" t="str">
        <f>"90007"</f>
        <v>90007</v>
      </c>
      <c r="D373" t="s">
        <v>384</v>
      </c>
      <c r="E373" t="s">
        <v>4</v>
      </c>
      <c r="F373">
        <v>27</v>
      </c>
      <c r="H373" t="s">
        <v>5</v>
      </c>
      <c r="I373" s="1">
        <v>69.94</v>
      </c>
      <c r="J373" s="1">
        <v>68.040000000000006</v>
      </c>
      <c r="K373" t="s">
        <v>6</v>
      </c>
    </row>
    <row r="374" spans="1:11">
      <c r="A374" t="s">
        <v>252</v>
      </c>
      <c r="B374">
        <v>458847</v>
      </c>
      <c r="C374" s="2" t="str">
        <f>"90008"</f>
        <v>90008</v>
      </c>
      <c r="D374" t="s">
        <v>385</v>
      </c>
      <c r="E374" t="s">
        <v>4</v>
      </c>
      <c r="F374">
        <v>22.5</v>
      </c>
      <c r="H374" t="s">
        <v>5</v>
      </c>
      <c r="I374" s="1">
        <v>69.94</v>
      </c>
      <c r="J374" s="1">
        <v>68.040000000000006</v>
      </c>
      <c r="K374" t="s">
        <v>6</v>
      </c>
    </row>
    <row r="375" spans="1:11">
      <c r="A375" t="s">
        <v>252</v>
      </c>
      <c r="B375">
        <v>458850</v>
      </c>
      <c r="C375" s="2" t="str">
        <f>"90009"</f>
        <v>90009</v>
      </c>
      <c r="D375" t="s">
        <v>386</v>
      </c>
      <c r="E375" t="s">
        <v>4</v>
      </c>
      <c r="F375">
        <v>29.99</v>
      </c>
      <c r="H375" t="s">
        <v>5</v>
      </c>
      <c r="I375" s="1">
        <v>76.56</v>
      </c>
      <c r="J375" s="1">
        <v>74.489999999999995</v>
      </c>
      <c r="K375" t="s">
        <v>6</v>
      </c>
    </row>
    <row r="376" spans="1:11">
      <c r="A376" t="s">
        <v>252</v>
      </c>
      <c r="B376">
        <v>458864</v>
      </c>
      <c r="C376" s="2" t="str">
        <f>"90010"</f>
        <v>90010</v>
      </c>
      <c r="D376" t="s">
        <v>387</v>
      </c>
      <c r="E376" t="s">
        <v>4</v>
      </c>
      <c r="F376">
        <v>36</v>
      </c>
      <c r="H376" t="s">
        <v>5</v>
      </c>
      <c r="I376" s="1">
        <v>78.510000000000005</v>
      </c>
      <c r="J376" s="1">
        <v>76.38</v>
      </c>
      <c r="K376" t="s">
        <v>6</v>
      </c>
    </row>
    <row r="377" spans="1:11">
      <c r="A377" t="s">
        <v>252</v>
      </c>
      <c r="B377">
        <v>482542</v>
      </c>
      <c r="C377" s="2" t="str">
        <f>"90038"</f>
        <v>90038</v>
      </c>
      <c r="D377" t="s">
        <v>388</v>
      </c>
      <c r="E377" t="s">
        <v>4</v>
      </c>
      <c r="F377">
        <v>7.92</v>
      </c>
      <c r="H377" t="s">
        <v>5</v>
      </c>
      <c r="I377" s="1">
        <v>64.03</v>
      </c>
      <c r="J377" s="1">
        <v>62.3</v>
      </c>
      <c r="K377" t="s">
        <v>6</v>
      </c>
    </row>
    <row r="378" spans="1:11">
      <c r="A378" t="s">
        <v>252</v>
      </c>
      <c r="B378">
        <v>489846</v>
      </c>
      <c r="C378" s="2" t="str">
        <f>"90044"</f>
        <v>90044</v>
      </c>
      <c r="D378" t="s">
        <v>389</v>
      </c>
      <c r="E378" t="s">
        <v>4</v>
      </c>
      <c r="F378">
        <v>13.27</v>
      </c>
      <c r="H378" t="s">
        <v>5</v>
      </c>
      <c r="I378" s="1">
        <v>41.69</v>
      </c>
      <c r="J378" s="1">
        <v>40.56</v>
      </c>
      <c r="K378" t="s">
        <v>6</v>
      </c>
    </row>
    <row r="379" spans="1:11">
      <c r="A379" t="s">
        <v>252</v>
      </c>
      <c r="B379">
        <v>527923</v>
      </c>
      <c r="C379" s="2" t="str">
        <f>"90054A"</f>
        <v>90054A</v>
      </c>
      <c r="D379" t="s">
        <v>390</v>
      </c>
      <c r="E379" t="s">
        <v>4</v>
      </c>
      <c r="F379">
        <v>20.87</v>
      </c>
      <c r="H379" t="s">
        <v>5</v>
      </c>
      <c r="I379" s="1">
        <v>57.66</v>
      </c>
      <c r="J379" s="1">
        <v>56.1</v>
      </c>
      <c r="K379" t="s">
        <v>6</v>
      </c>
    </row>
    <row r="380" spans="1:11">
      <c r="A380" t="s">
        <v>252</v>
      </c>
      <c r="B380">
        <v>518392</v>
      </c>
      <c r="C380" s="2" t="str">
        <f>"90071"</f>
        <v>90071</v>
      </c>
      <c r="D380" t="s">
        <v>391</v>
      </c>
      <c r="E380" t="s">
        <v>4</v>
      </c>
      <c r="F380">
        <v>13.5</v>
      </c>
      <c r="H380" t="s">
        <v>5</v>
      </c>
      <c r="I380" s="1">
        <v>93.25</v>
      </c>
      <c r="J380" s="1">
        <v>90.73</v>
      </c>
      <c r="K380" t="s">
        <v>6</v>
      </c>
    </row>
    <row r="381" spans="1:11">
      <c r="A381" t="s">
        <v>252</v>
      </c>
      <c r="B381">
        <v>541145</v>
      </c>
      <c r="C381" s="2" t="str">
        <f>"90132"</f>
        <v>90132</v>
      </c>
      <c r="D381" t="s">
        <v>392</v>
      </c>
      <c r="E381" t="s">
        <v>4</v>
      </c>
      <c r="F381">
        <v>50</v>
      </c>
      <c r="H381" t="s">
        <v>5</v>
      </c>
      <c r="I381" s="1">
        <v>84.42</v>
      </c>
      <c r="J381" s="1">
        <v>82.13</v>
      </c>
      <c r="K381" t="s">
        <v>6</v>
      </c>
    </row>
    <row r="382" spans="1:11">
      <c r="A382" t="s">
        <v>252</v>
      </c>
      <c r="B382">
        <v>480553</v>
      </c>
      <c r="C382" s="2" t="str">
        <f>"93011"</f>
        <v>93011</v>
      </c>
      <c r="D382" t="s">
        <v>393</v>
      </c>
      <c r="E382" t="s">
        <v>4</v>
      </c>
      <c r="F382">
        <v>18</v>
      </c>
      <c r="H382" t="s">
        <v>5</v>
      </c>
      <c r="I382" s="1">
        <v>64.94</v>
      </c>
      <c r="J382" s="1">
        <v>63.18</v>
      </c>
      <c r="K382" t="s">
        <v>6</v>
      </c>
    </row>
    <row r="383" spans="1:11">
      <c r="A383" t="s">
        <v>252</v>
      </c>
      <c r="B383">
        <v>480554</v>
      </c>
      <c r="C383" s="2" t="str">
        <f>"93012"</f>
        <v>93012</v>
      </c>
      <c r="D383" t="s">
        <v>394</v>
      </c>
      <c r="E383" t="s">
        <v>4</v>
      </c>
      <c r="F383">
        <v>15.36</v>
      </c>
      <c r="H383" t="s">
        <v>5</v>
      </c>
      <c r="I383" s="1">
        <v>59.74</v>
      </c>
      <c r="J383" s="1">
        <v>58.13</v>
      </c>
      <c r="K383" t="s">
        <v>6</v>
      </c>
    </row>
    <row r="384" spans="1:11">
      <c r="A384" t="s">
        <v>252</v>
      </c>
      <c r="B384">
        <v>480555</v>
      </c>
      <c r="C384" s="2" t="str">
        <f>"93013"</f>
        <v>93013</v>
      </c>
      <c r="D384" t="s">
        <v>395</v>
      </c>
      <c r="E384" t="s">
        <v>4</v>
      </c>
      <c r="F384">
        <v>9.36</v>
      </c>
      <c r="H384" t="s">
        <v>5</v>
      </c>
      <c r="I384" s="1">
        <v>43.77</v>
      </c>
      <c r="J384" s="1">
        <v>42.58</v>
      </c>
      <c r="K384" t="s">
        <v>6</v>
      </c>
    </row>
    <row r="385" spans="1:11">
      <c r="A385" t="s">
        <v>252</v>
      </c>
      <c r="B385">
        <v>425325</v>
      </c>
      <c r="C385" s="2" t="str">
        <f>"980R"</f>
        <v>980R</v>
      </c>
      <c r="D385" t="s">
        <v>396</v>
      </c>
      <c r="E385" t="s">
        <v>4</v>
      </c>
      <c r="F385">
        <v>4.7699999999999996</v>
      </c>
      <c r="H385" t="s">
        <v>5</v>
      </c>
      <c r="I385" s="1">
        <v>17.760000000000002</v>
      </c>
      <c r="J385" s="1">
        <v>17.28</v>
      </c>
      <c r="K385" t="s">
        <v>6</v>
      </c>
    </row>
    <row r="386" spans="1:11">
      <c r="A386" t="s">
        <v>252</v>
      </c>
      <c r="B386">
        <v>396619</v>
      </c>
      <c r="C386" s="2" t="str">
        <f>"H023202"</f>
        <v>H023202</v>
      </c>
      <c r="D386" t="s">
        <v>397</v>
      </c>
      <c r="E386" t="s">
        <v>4</v>
      </c>
      <c r="F386">
        <v>25.92</v>
      </c>
      <c r="H386" t="s">
        <v>5</v>
      </c>
      <c r="I386" s="1">
        <v>107.79</v>
      </c>
      <c r="J386" s="1">
        <v>104.88</v>
      </c>
      <c r="K386" t="s">
        <v>6</v>
      </c>
    </row>
    <row r="387" spans="1:11">
      <c r="A387" t="s">
        <v>252</v>
      </c>
      <c r="B387">
        <v>396628</v>
      </c>
      <c r="C387" s="2" t="str">
        <f>"H037491"</f>
        <v>H037491</v>
      </c>
      <c r="D387" t="s">
        <v>398</v>
      </c>
      <c r="E387" t="s">
        <v>4</v>
      </c>
      <c r="F387">
        <v>16.989999999999998</v>
      </c>
      <c r="H387" t="s">
        <v>5</v>
      </c>
      <c r="I387" s="1">
        <v>113.38</v>
      </c>
      <c r="J387" s="1">
        <v>110.31</v>
      </c>
      <c r="K387" t="s">
        <v>6</v>
      </c>
    </row>
    <row r="388" spans="1:11">
      <c r="A388" t="s">
        <v>252</v>
      </c>
      <c r="B388">
        <v>414012</v>
      </c>
      <c r="C388" s="2" t="str">
        <f>"H054504"</f>
        <v>H054504</v>
      </c>
      <c r="D388" t="s">
        <v>399</v>
      </c>
      <c r="E388" t="s">
        <v>4</v>
      </c>
      <c r="F388">
        <v>19.100000000000001</v>
      </c>
      <c r="H388" t="s">
        <v>5</v>
      </c>
      <c r="I388" s="1">
        <v>65.58</v>
      </c>
      <c r="J388" s="1">
        <v>63.81</v>
      </c>
      <c r="K388" t="s">
        <v>6</v>
      </c>
    </row>
    <row r="389" spans="1:11">
      <c r="A389" t="s">
        <v>252</v>
      </c>
      <c r="B389">
        <v>414010</v>
      </c>
      <c r="C389" s="2" t="str">
        <f>"H054539"</f>
        <v>H054539</v>
      </c>
      <c r="D389" t="s">
        <v>400</v>
      </c>
      <c r="E389" t="s">
        <v>4</v>
      </c>
      <c r="F389">
        <v>22.01</v>
      </c>
      <c r="H389" t="s">
        <v>5</v>
      </c>
      <c r="I389" s="1">
        <v>68.180000000000007</v>
      </c>
      <c r="J389" s="1">
        <v>66.34</v>
      </c>
      <c r="K389" t="s">
        <v>6</v>
      </c>
    </row>
    <row r="390" spans="1:11">
      <c r="A390" t="s">
        <v>252</v>
      </c>
      <c r="B390">
        <v>417017</v>
      </c>
      <c r="C390" s="2" t="str">
        <f>"H054540"</f>
        <v>H054540</v>
      </c>
      <c r="D390" t="s">
        <v>401</v>
      </c>
      <c r="E390" t="s">
        <v>4</v>
      </c>
      <c r="F390">
        <v>21</v>
      </c>
      <c r="H390" t="s">
        <v>5</v>
      </c>
      <c r="I390" s="1">
        <v>66.88</v>
      </c>
      <c r="J390" s="1">
        <v>65.08</v>
      </c>
      <c r="K390" t="s">
        <v>6</v>
      </c>
    </row>
    <row r="391" spans="1:11">
      <c r="A391" t="s">
        <v>402</v>
      </c>
      <c r="B391">
        <v>565506</v>
      </c>
      <c r="C391" s="2" t="str">
        <f>"4659611"</f>
        <v>4659611</v>
      </c>
      <c r="D391" t="s">
        <v>403</v>
      </c>
      <c r="E391" t="s">
        <v>4</v>
      </c>
      <c r="F391">
        <v>17.5</v>
      </c>
      <c r="H391" t="s">
        <v>5</v>
      </c>
      <c r="I391" s="1">
        <v>58.74</v>
      </c>
      <c r="J391" s="1">
        <v>58.74</v>
      </c>
      <c r="K391" t="s">
        <v>6</v>
      </c>
    </row>
    <row r="392" spans="1:11">
      <c r="A392" t="s">
        <v>404</v>
      </c>
      <c r="B392">
        <v>423114</v>
      </c>
      <c r="C392" s="2" t="str">
        <f>"56638"</f>
        <v>56638</v>
      </c>
      <c r="D392" t="s">
        <v>405</v>
      </c>
      <c r="E392" t="s">
        <v>4</v>
      </c>
      <c r="F392">
        <v>4</v>
      </c>
      <c r="H392" t="s">
        <v>5</v>
      </c>
      <c r="I392" s="1">
        <v>85.31</v>
      </c>
      <c r="J392" s="1">
        <v>81.040000000000006</v>
      </c>
      <c r="K392" t="s">
        <v>6</v>
      </c>
    </row>
    <row r="393" spans="1:11">
      <c r="A393" t="s">
        <v>404</v>
      </c>
      <c r="B393">
        <v>423106</v>
      </c>
      <c r="C393" s="2" t="str">
        <f>"AT-EXPRESS"</f>
        <v>AT-EXPRESS</v>
      </c>
      <c r="D393" t="s">
        <v>406</v>
      </c>
      <c r="E393" t="s">
        <v>4</v>
      </c>
      <c r="F393">
        <v>35</v>
      </c>
      <c r="H393" t="s">
        <v>5</v>
      </c>
      <c r="I393" s="1">
        <v>841.75</v>
      </c>
      <c r="J393" s="1">
        <v>799.66</v>
      </c>
      <c r="K393" t="s">
        <v>6</v>
      </c>
    </row>
    <row r="394" spans="1:11">
      <c r="A394" t="s">
        <v>404</v>
      </c>
      <c r="B394">
        <v>423124</v>
      </c>
      <c r="C394" s="2" t="str">
        <f>"BW-31"</f>
        <v>BW-31</v>
      </c>
      <c r="D394" t="s">
        <v>407</v>
      </c>
      <c r="E394" t="s">
        <v>4</v>
      </c>
      <c r="F394">
        <v>65</v>
      </c>
      <c r="H394" t="s">
        <v>5</v>
      </c>
      <c r="I394" s="1">
        <v>1071.8499999999999</v>
      </c>
      <c r="J394" s="1">
        <v>1018.26</v>
      </c>
      <c r="K394" t="s">
        <v>6</v>
      </c>
    </row>
    <row r="395" spans="1:11">
      <c r="A395" t="s">
        <v>404</v>
      </c>
      <c r="B395">
        <v>423127</v>
      </c>
      <c r="C395" s="2" t="str">
        <f>"CCW"</f>
        <v>CCW</v>
      </c>
      <c r="D395" t="s">
        <v>408</v>
      </c>
      <c r="E395" t="s">
        <v>4</v>
      </c>
      <c r="F395">
        <v>11</v>
      </c>
      <c r="H395" t="s">
        <v>5</v>
      </c>
      <c r="I395" s="1">
        <v>474.5</v>
      </c>
      <c r="J395" s="1">
        <v>450.78</v>
      </c>
      <c r="K395" t="s">
        <v>6</v>
      </c>
    </row>
    <row r="396" spans="1:11">
      <c r="A396" t="s">
        <v>404</v>
      </c>
      <c r="B396">
        <v>423111</v>
      </c>
      <c r="C396" s="2" t="str">
        <f>"CW-2A"</f>
        <v>CW-2A</v>
      </c>
      <c r="D396" t="s">
        <v>409</v>
      </c>
      <c r="E396" t="s">
        <v>4</v>
      </c>
      <c r="F396">
        <v>29</v>
      </c>
      <c r="H396" t="s">
        <v>5</v>
      </c>
      <c r="I396" s="1">
        <v>450.45</v>
      </c>
      <c r="J396" s="1">
        <v>427.93</v>
      </c>
      <c r="K396" t="s">
        <v>6</v>
      </c>
    </row>
    <row r="397" spans="1:11">
      <c r="A397" t="s">
        <v>404</v>
      </c>
      <c r="B397">
        <v>423126</v>
      </c>
      <c r="C397" s="2" t="str">
        <f>"DR-2A"</f>
        <v>DR-2A</v>
      </c>
      <c r="D397" t="s">
        <v>410</v>
      </c>
      <c r="E397" t="s">
        <v>4</v>
      </c>
      <c r="F397">
        <v>57</v>
      </c>
      <c r="H397" t="s">
        <v>5</v>
      </c>
      <c r="I397" s="1">
        <v>1267.5</v>
      </c>
      <c r="J397" s="1">
        <v>1204.1300000000001</v>
      </c>
      <c r="K397" t="s">
        <v>6</v>
      </c>
    </row>
    <row r="398" spans="1:11">
      <c r="A398" t="s">
        <v>404</v>
      </c>
      <c r="B398">
        <v>423125</v>
      </c>
      <c r="C398" s="2" t="str">
        <f>"DS-1A"</f>
        <v>DS-1A</v>
      </c>
      <c r="D398" t="s">
        <v>411</v>
      </c>
      <c r="E398" t="s">
        <v>4</v>
      </c>
      <c r="F398">
        <v>36</v>
      </c>
      <c r="H398" t="s">
        <v>5</v>
      </c>
      <c r="I398" s="1">
        <v>609.70000000000005</v>
      </c>
      <c r="J398" s="1">
        <v>579.22</v>
      </c>
      <c r="K398" t="s">
        <v>6</v>
      </c>
    </row>
    <row r="399" spans="1:11">
      <c r="A399" t="s">
        <v>404</v>
      </c>
      <c r="B399">
        <v>423130</v>
      </c>
      <c r="C399" s="2" t="str">
        <f>"MPC-1A"</f>
        <v>MPC-1A</v>
      </c>
      <c r="D399" t="s">
        <v>412</v>
      </c>
      <c r="E399" t="s">
        <v>4</v>
      </c>
      <c r="F399">
        <v>68</v>
      </c>
      <c r="H399" t="s">
        <v>5</v>
      </c>
      <c r="I399" s="1">
        <v>882.7</v>
      </c>
      <c r="J399" s="1">
        <v>838.57</v>
      </c>
      <c r="K399" t="s">
        <v>6</v>
      </c>
    </row>
    <row r="400" spans="1:11">
      <c r="A400" t="s">
        <v>404</v>
      </c>
      <c r="B400">
        <v>423119</v>
      </c>
      <c r="C400" s="2" t="str">
        <f>"PD-1A"</f>
        <v>PD-1A</v>
      </c>
      <c r="D400" t="s">
        <v>413</v>
      </c>
      <c r="E400" t="s">
        <v>4</v>
      </c>
      <c r="F400">
        <v>13</v>
      </c>
      <c r="H400" t="s">
        <v>5</v>
      </c>
      <c r="I400" s="1">
        <v>306.8</v>
      </c>
      <c r="J400" s="1">
        <v>291.45999999999998</v>
      </c>
      <c r="K400" t="s">
        <v>6</v>
      </c>
    </row>
    <row r="401" spans="1:11">
      <c r="A401" t="s">
        <v>404</v>
      </c>
      <c r="B401">
        <v>423109</v>
      </c>
      <c r="C401" s="2" t="str">
        <f>"RCW-11"</f>
        <v>RCW-11</v>
      </c>
      <c r="D401" t="s">
        <v>414</v>
      </c>
      <c r="E401" t="s">
        <v>4</v>
      </c>
      <c r="F401">
        <v>12</v>
      </c>
      <c r="H401" t="s">
        <v>5</v>
      </c>
      <c r="I401" s="1">
        <v>276.89999999999998</v>
      </c>
      <c r="J401" s="1">
        <v>263.06</v>
      </c>
      <c r="K401" t="s">
        <v>6</v>
      </c>
    </row>
    <row r="402" spans="1:11">
      <c r="A402" t="s">
        <v>404</v>
      </c>
      <c r="B402">
        <v>423108</v>
      </c>
      <c r="C402" s="2" t="str">
        <f>"RCW-7"</f>
        <v>RCW-7</v>
      </c>
      <c r="D402" t="s">
        <v>415</v>
      </c>
      <c r="E402" t="s">
        <v>4</v>
      </c>
      <c r="F402">
        <v>10</v>
      </c>
      <c r="H402" t="s">
        <v>5</v>
      </c>
      <c r="I402" s="1">
        <v>248.3</v>
      </c>
      <c r="J402" s="1">
        <v>235.89</v>
      </c>
      <c r="K402" t="s">
        <v>6</v>
      </c>
    </row>
    <row r="403" spans="1:11">
      <c r="A403" t="s">
        <v>404</v>
      </c>
      <c r="B403">
        <v>423123</v>
      </c>
      <c r="C403" s="2" t="str">
        <f>"SG-31"</f>
        <v>SG-31</v>
      </c>
      <c r="D403" t="s">
        <v>416</v>
      </c>
      <c r="E403" t="s">
        <v>4</v>
      </c>
      <c r="F403">
        <v>6</v>
      </c>
      <c r="H403" t="s">
        <v>5</v>
      </c>
      <c r="I403" s="1">
        <v>270.39999999999998</v>
      </c>
      <c r="J403" s="1">
        <v>256.88</v>
      </c>
      <c r="K403" t="s">
        <v>6</v>
      </c>
    </row>
    <row r="404" spans="1:11">
      <c r="A404" t="s">
        <v>404</v>
      </c>
      <c r="B404">
        <v>423110</v>
      </c>
      <c r="C404" s="2" t="str">
        <f>"W-3V"</f>
        <v>W-3V</v>
      </c>
      <c r="D404" t="s">
        <v>417</v>
      </c>
      <c r="E404" t="s">
        <v>4</v>
      </c>
      <c r="F404">
        <v>30</v>
      </c>
      <c r="H404" t="s">
        <v>5</v>
      </c>
      <c r="I404" s="1">
        <v>239.85</v>
      </c>
      <c r="J404" s="1">
        <v>227.86</v>
      </c>
      <c r="K404" t="s">
        <v>6</v>
      </c>
    </row>
    <row r="405" spans="1:11">
      <c r="A405" t="s">
        <v>404</v>
      </c>
      <c r="B405">
        <v>423112</v>
      </c>
      <c r="C405" s="2" t="str">
        <f>"W-43V"</f>
        <v>W-43V</v>
      </c>
      <c r="D405" t="s">
        <v>418</v>
      </c>
      <c r="E405" t="s">
        <v>4</v>
      </c>
      <c r="F405">
        <v>30</v>
      </c>
      <c r="H405" t="s">
        <v>5</v>
      </c>
      <c r="I405" s="1">
        <v>281.45</v>
      </c>
      <c r="J405" s="1">
        <v>267.37</v>
      </c>
      <c r="K405" t="s">
        <v>6</v>
      </c>
    </row>
    <row r="406" spans="1:11">
      <c r="A406" t="s">
        <v>419</v>
      </c>
      <c r="B406">
        <v>453778</v>
      </c>
      <c r="C406" s="2" t="str">
        <f>"270C"</f>
        <v>270C</v>
      </c>
      <c r="D406" t="s">
        <v>420</v>
      </c>
      <c r="E406" t="s">
        <v>4</v>
      </c>
      <c r="F406">
        <v>4</v>
      </c>
      <c r="H406" t="s">
        <v>5</v>
      </c>
      <c r="I406" s="1">
        <v>69.599999999999994</v>
      </c>
      <c r="J406" s="1">
        <v>67.569999999999993</v>
      </c>
      <c r="K406" t="s">
        <v>6</v>
      </c>
    </row>
    <row r="407" spans="1:11">
      <c r="A407" t="s">
        <v>419</v>
      </c>
      <c r="B407">
        <v>453152</v>
      </c>
      <c r="C407" s="2" t="str">
        <f>"280C"</f>
        <v>280C</v>
      </c>
      <c r="D407" t="s">
        <v>421</v>
      </c>
      <c r="E407" t="s">
        <v>4</v>
      </c>
      <c r="F407">
        <v>7</v>
      </c>
      <c r="H407" t="s">
        <v>5</v>
      </c>
      <c r="I407" s="1">
        <v>75.92</v>
      </c>
      <c r="J407" s="1">
        <v>73.709999999999994</v>
      </c>
      <c r="K407" t="s">
        <v>6</v>
      </c>
    </row>
    <row r="408" spans="1:11">
      <c r="A408" t="s">
        <v>419</v>
      </c>
      <c r="B408">
        <v>456572</v>
      </c>
      <c r="C408" s="2" t="str">
        <f>"416A"</f>
        <v>416A</v>
      </c>
      <c r="D408" t="s">
        <v>422</v>
      </c>
      <c r="E408" t="s">
        <v>4</v>
      </c>
      <c r="F408">
        <v>5.62</v>
      </c>
      <c r="H408" t="s">
        <v>5</v>
      </c>
      <c r="I408" s="1">
        <v>43.45</v>
      </c>
      <c r="J408" s="1">
        <v>42.6</v>
      </c>
      <c r="K408" t="s">
        <v>6</v>
      </c>
    </row>
    <row r="409" spans="1:11">
      <c r="A409" t="s">
        <v>419</v>
      </c>
      <c r="B409">
        <v>500482</v>
      </c>
      <c r="C409" s="2" t="str">
        <f>"421"</f>
        <v>421</v>
      </c>
      <c r="D409" t="s">
        <v>423</v>
      </c>
      <c r="E409" t="s">
        <v>4</v>
      </c>
      <c r="F409">
        <v>13.3</v>
      </c>
      <c r="H409" t="s">
        <v>5</v>
      </c>
      <c r="I409" s="1">
        <v>58.94</v>
      </c>
      <c r="J409" s="1">
        <v>57.79</v>
      </c>
      <c r="K409" t="s">
        <v>6</v>
      </c>
    </row>
    <row r="410" spans="1:11">
      <c r="A410" t="s">
        <v>419</v>
      </c>
      <c r="B410">
        <v>455410</v>
      </c>
      <c r="C410" s="2" t="str">
        <f>"8240A"</f>
        <v>8240A</v>
      </c>
      <c r="D410" t="s">
        <v>424</v>
      </c>
      <c r="E410" t="s">
        <v>4</v>
      </c>
      <c r="F410">
        <v>5.45</v>
      </c>
      <c r="H410" t="s">
        <v>5</v>
      </c>
      <c r="I410" s="1">
        <v>51.87</v>
      </c>
      <c r="J410" s="1">
        <v>50.86</v>
      </c>
      <c r="K410" t="s">
        <v>6</v>
      </c>
    </row>
    <row r="411" spans="1:11">
      <c r="A411" t="s">
        <v>419</v>
      </c>
      <c r="B411">
        <v>558553</v>
      </c>
      <c r="C411" s="2" t="str">
        <f>"8241A"</f>
        <v>8241A</v>
      </c>
      <c r="D411" t="s">
        <v>425</v>
      </c>
      <c r="E411" t="s">
        <v>4</v>
      </c>
      <c r="F411">
        <v>5.34</v>
      </c>
      <c r="H411" t="s">
        <v>5</v>
      </c>
      <c r="I411" s="1">
        <v>52.38</v>
      </c>
      <c r="J411" s="1">
        <v>50.86</v>
      </c>
      <c r="K411" t="s">
        <v>6</v>
      </c>
    </row>
    <row r="412" spans="1:11">
      <c r="A412" t="s">
        <v>419</v>
      </c>
      <c r="B412">
        <v>455506</v>
      </c>
      <c r="C412" s="2" t="str">
        <f>"8242A"</f>
        <v>8242A</v>
      </c>
      <c r="D412" t="s">
        <v>426</v>
      </c>
      <c r="E412" t="s">
        <v>4</v>
      </c>
      <c r="F412">
        <v>5</v>
      </c>
      <c r="H412" t="s">
        <v>5</v>
      </c>
      <c r="I412" s="1">
        <v>50.07</v>
      </c>
      <c r="J412" s="1">
        <v>49.09</v>
      </c>
      <c r="K412" t="s">
        <v>6</v>
      </c>
    </row>
    <row r="413" spans="1:11">
      <c r="A413" t="s">
        <v>419</v>
      </c>
      <c r="B413">
        <v>455507</v>
      </c>
      <c r="C413" s="2" t="str">
        <f>"8243A"</f>
        <v>8243A</v>
      </c>
      <c r="D413" t="s">
        <v>427</v>
      </c>
      <c r="E413" t="s">
        <v>4</v>
      </c>
      <c r="F413">
        <v>4.8</v>
      </c>
      <c r="H413" t="s">
        <v>5</v>
      </c>
      <c r="I413" s="1">
        <v>40.93</v>
      </c>
      <c r="J413" s="1">
        <v>40.130000000000003</v>
      </c>
      <c r="K413" t="s">
        <v>6</v>
      </c>
    </row>
    <row r="414" spans="1:11">
      <c r="A414" t="s">
        <v>419</v>
      </c>
      <c r="B414">
        <v>546849</v>
      </c>
      <c r="C414" s="2" t="str">
        <f>"8244A"</f>
        <v>8244A</v>
      </c>
      <c r="D414" t="s">
        <v>428</v>
      </c>
      <c r="E414" t="s">
        <v>4</v>
      </c>
      <c r="F414">
        <v>4.75</v>
      </c>
      <c r="H414" t="s">
        <v>5</v>
      </c>
      <c r="I414" s="1">
        <v>50.07</v>
      </c>
      <c r="J414" s="1">
        <v>49.09</v>
      </c>
      <c r="K414" t="s">
        <v>6</v>
      </c>
    </row>
    <row r="415" spans="1:11">
      <c r="A415" t="s">
        <v>419</v>
      </c>
      <c r="B415">
        <v>453144</v>
      </c>
      <c r="C415" s="2" t="str">
        <f>"8250A"</f>
        <v>8250A</v>
      </c>
      <c r="D415" t="s">
        <v>429</v>
      </c>
      <c r="E415" t="s">
        <v>4</v>
      </c>
      <c r="F415">
        <v>6</v>
      </c>
      <c r="H415" t="s">
        <v>5</v>
      </c>
      <c r="I415" s="1">
        <v>65.599999999999994</v>
      </c>
      <c r="J415" s="1">
        <v>63.69</v>
      </c>
      <c r="K415" t="s">
        <v>6</v>
      </c>
    </row>
    <row r="416" spans="1:11">
      <c r="A416" t="s">
        <v>419</v>
      </c>
      <c r="B416">
        <v>453145</v>
      </c>
      <c r="C416" s="2" t="str">
        <f>"8251A"</f>
        <v>8251A</v>
      </c>
      <c r="D416" t="s">
        <v>430</v>
      </c>
      <c r="E416" t="s">
        <v>4</v>
      </c>
      <c r="F416">
        <v>5.98</v>
      </c>
      <c r="H416" t="s">
        <v>5</v>
      </c>
      <c r="I416" s="1">
        <v>65.599999999999994</v>
      </c>
      <c r="J416" s="1">
        <v>63.69</v>
      </c>
      <c r="K416" t="s">
        <v>6</v>
      </c>
    </row>
    <row r="417" spans="1:11">
      <c r="A417" t="s">
        <v>419</v>
      </c>
      <c r="B417">
        <v>455411</v>
      </c>
      <c r="C417" s="2" t="str">
        <f>"8252A"</f>
        <v>8252A</v>
      </c>
      <c r="D417" t="s">
        <v>431</v>
      </c>
      <c r="E417" t="s">
        <v>4</v>
      </c>
      <c r="F417">
        <v>5</v>
      </c>
      <c r="H417" t="s">
        <v>5</v>
      </c>
      <c r="I417" s="1">
        <v>48.72</v>
      </c>
      <c r="J417" s="1">
        <v>47.76</v>
      </c>
      <c r="K417" t="s">
        <v>6</v>
      </c>
    </row>
    <row r="418" spans="1:11">
      <c r="A418" t="s">
        <v>419</v>
      </c>
      <c r="B418">
        <v>456148</v>
      </c>
      <c r="C418" s="2" t="str">
        <f>"8253"</f>
        <v>8253</v>
      </c>
      <c r="D418" t="s">
        <v>432</v>
      </c>
      <c r="E418" t="s">
        <v>4</v>
      </c>
      <c r="F418">
        <v>6</v>
      </c>
      <c r="H418" t="s">
        <v>5</v>
      </c>
      <c r="I418" s="1">
        <v>54.56</v>
      </c>
      <c r="J418" s="1">
        <v>53.5</v>
      </c>
      <c r="K418" t="s">
        <v>6</v>
      </c>
    </row>
    <row r="419" spans="1:11">
      <c r="A419" t="s">
        <v>419</v>
      </c>
      <c r="B419">
        <v>453146</v>
      </c>
      <c r="C419" s="2" t="str">
        <f>"8254A"</f>
        <v>8254A</v>
      </c>
      <c r="D419" t="s">
        <v>433</v>
      </c>
      <c r="E419" t="s">
        <v>4</v>
      </c>
      <c r="F419">
        <v>5.5</v>
      </c>
      <c r="H419" t="s">
        <v>5</v>
      </c>
      <c r="I419" s="1">
        <v>65.599999999999994</v>
      </c>
      <c r="J419" s="1">
        <v>63.69</v>
      </c>
      <c r="K419" t="s">
        <v>6</v>
      </c>
    </row>
    <row r="420" spans="1:11">
      <c r="A420" t="s">
        <v>419</v>
      </c>
      <c r="B420">
        <v>455861</v>
      </c>
      <c r="C420" s="2" t="str">
        <f>"8255A"</f>
        <v>8255A</v>
      </c>
      <c r="D420" t="s">
        <v>434</v>
      </c>
      <c r="E420" t="s">
        <v>4</v>
      </c>
      <c r="F420">
        <v>4.75</v>
      </c>
      <c r="H420" t="s">
        <v>5</v>
      </c>
      <c r="I420" s="1">
        <v>77.959999999999994</v>
      </c>
      <c r="J420" s="1">
        <v>76.430000000000007</v>
      </c>
      <c r="K420" t="s">
        <v>6</v>
      </c>
    </row>
    <row r="421" spans="1:11">
      <c r="A421" t="s">
        <v>419</v>
      </c>
      <c r="B421">
        <v>453142</v>
      </c>
      <c r="C421" s="2" t="str">
        <f>"8290A"</f>
        <v>8290A</v>
      </c>
      <c r="D421" t="s">
        <v>435</v>
      </c>
      <c r="E421" t="s">
        <v>4</v>
      </c>
      <c r="F421">
        <v>4.17</v>
      </c>
      <c r="H421" t="s">
        <v>5</v>
      </c>
      <c r="I421" s="1">
        <v>65.599999999999994</v>
      </c>
      <c r="J421" s="1">
        <v>63.69</v>
      </c>
      <c r="K421" t="s">
        <v>6</v>
      </c>
    </row>
    <row r="422" spans="1:11">
      <c r="A422" t="s">
        <v>419</v>
      </c>
      <c r="B422">
        <v>453149</v>
      </c>
      <c r="C422" s="2" t="str">
        <f>"8311A"</f>
        <v>8311A</v>
      </c>
      <c r="D422" t="s">
        <v>436</v>
      </c>
      <c r="E422" t="s">
        <v>4</v>
      </c>
      <c r="F422">
        <v>3.64</v>
      </c>
      <c r="H422" t="s">
        <v>5</v>
      </c>
      <c r="I422" s="1">
        <v>40.99</v>
      </c>
      <c r="J422" s="1">
        <v>39.79</v>
      </c>
      <c r="K422" t="s">
        <v>6</v>
      </c>
    </row>
    <row r="423" spans="1:11">
      <c r="A423" t="s">
        <v>419</v>
      </c>
      <c r="B423">
        <v>456116</v>
      </c>
      <c r="C423" s="2" t="str">
        <f>"8506A"</f>
        <v>8506A</v>
      </c>
      <c r="D423" t="s">
        <v>437</v>
      </c>
      <c r="E423" t="s">
        <v>4</v>
      </c>
      <c r="F423">
        <v>15</v>
      </c>
      <c r="H423" t="s">
        <v>5</v>
      </c>
      <c r="I423" s="1">
        <v>99.94</v>
      </c>
      <c r="J423" s="1">
        <v>97.98</v>
      </c>
      <c r="K423" t="s">
        <v>6</v>
      </c>
    </row>
    <row r="424" spans="1:11">
      <c r="A424" t="s">
        <v>419</v>
      </c>
      <c r="B424">
        <v>455526</v>
      </c>
      <c r="C424" s="2" t="str">
        <f>"8507A"</f>
        <v>8507A</v>
      </c>
      <c r="D424" t="s">
        <v>438</v>
      </c>
      <c r="E424" t="s">
        <v>4</v>
      </c>
      <c r="F424">
        <v>4</v>
      </c>
      <c r="H424" t="s">
        <v>5</v>
      </c>
      <c r="I424" s="1">
        <v>31.35</v>
      </c>
      <c r="J424" s="1">
        <v>30.73</v>
      </c>
      <c r="K424" t="s">
        <v>6</v>
      </c>
    </row>
    <row r="425" spans="1:11">
      <c r="A425" t="s">
        <v>419</v>
      </c>
      <c r="B425">
        <v>453141</v>
      </c>
      <c r="C425" s="2" t="str">
        <f>"8A"</f>
        <v>8A</v>
      </c>
      <c r="D425" t="s">
        <v>439</v>
      </c>
      <c r="E425" t="s">
        <v>4</v>
      </c>
      <c r="F425">
        <v>3</v>
      </c>
      <c r="H425" t="s">
        <v>5</v>
      </c>
      <c r="I425" s="1">
        <v>52.48</v>
      </c>
      <c r="J425" s="1">
        <v>50.95</v>
      </c>
      <c r="K425" t="s">
        <v>6</v>
      </c>
    </row>
    <row r="426" spans="1:11">
      <c r="A426" t="s">
        <v>419</v>
      </c>
      <c r="B426">
        <v>453150</v>
      </c>
      <c r="C426" s="2" t="str">
        <f>"9500G"</f>
        <v>9500G</v>
      </c>
      <c r="D426" t="s">
        <v>440</v>
      </c>
      <c r="E426" t="s">
        <v>4</v>
      </c>
      <c r="F426">
        <v>6</v>
      </c>
      <c r="H426" t="s">
        <v>5</v>
      </c>
      <c r="I426" s="1">
        <v>77.09</v>
      </c>
      <c r="J426" s="1">
        <v>74.84</v>
      </c>
      <c r="K426" t="s">
        <v>6</v>
      </c>
    </row>
    <row r="427" spans="1:11">
      <c r="A427" t="s">
        <v>419</v>
      </c>
      <c r="B427">
        <v>487135</v>
      </c>
      <c r="C427" s="2" t="str">
        <f>"9503"</f>
        <v>9503</v>
      </c>
      <c r="D427" t="s">
        <v>441</v>
      </c>
      <c r="E427" t="s">
        <v>4</v>
      </c>
      <c r="F427">
        <v>2.8</v>
      </c>
      <c r="H427" t="s">
        <v>5</v>
      </c>
      <c r="I427" s="1">
        <v>36.56</v>
      </c>
      <c r="J427" s="1">
        <v>35.840000000000003</v>
      </c>
      <c r="K427" t="s">
        <v>6</v>
      </c>
    </row>
    <row r="428" spans="1:11">
      <c r="A428" t="s">
        <v>442</v>
      </c>
      <c r="B428">
        <v>503915</v>
      </c>
      <c r="C428" s="2" t="str">
        <f>"BM_A-200"</f>
        <v>BM_A-200</v>
      </c>
      <c r="D428" t="s">
        <v>443</v>
      </c>
      <c r="E428" t="s">
        <v>4</v>
      </c>
      <c r="F428">
        <v>27</v>
      </c>
      <c r="H428" t="s">
        <v>5</v>
      </c>
      <c r="I428" s="1">
        <v>395.2</v>
      </c>
      <c r="J428" s="1">
        <v>375.44</v>
      </c>
      <c r="K428" t="s">
        <v>6</v>
      </c>
    </row>
    <row r="429" spans="1:11">
      <c r="A429" t="s">
        <v>442</v>
      </c>
      <c r="B429">
        <v>503911</v>
      </c>
      <c r="C429" s="2" t="str">
        <f>"BM_BRS-1722"</f>
        <v>BM_BRS-1722</v>
      </c>
      <c r="D429" t="s">
        <v>444</v>
      </c>
      <c r="E429" t="s">
        <v>4</v>
      </c>
      <c r="F429">
        <v>1.5</v>
      </c>
      <c r="H429" t="s">
        <v>5</v>
      </c>
      <c r="I429" s="1">
        <v>51.35</v>
      </c>
      <c r="J429" s="1">
        <v>51.35</v>
      </c>
      <c r="K429" t="s">
        <v>6</v>
      </c>
    </row>
    <row r="430" spans="1:11">
      <c r="A430" t="s">
        <v>442</v>
      </c>
      <c r="B430">
        <v>508409</v>
      </c>
      <c r="C430" s="2" t="str">
        <f>"BM_BRS-917"</f>
        <v>BM_BRS-917</v>
      </c>
      <c r="D430" t="s">
        <v>445</v>
      </c>
      <c r="E430" t="s">
        <v>4</v>
      </c>
      <c r="F430">
        <v>0.2</v>
      </c>
      <c r="H430" t="s">
        <v>5</v>
      </c>
      <c r="I430" s="1">
        <v>10.92</v>
      </c>
      <c r="J430" s="1">
        <v>10.92</v>
      </c>
      <c r="K430" t="s">
        <v>6</v>
      </c>
    </row>
    <row r="431" spans="1:11">
      <c r="A431" t="s">
        <v>442</v>
      </c>
      <c r="B431">
        <v>503913</v>
      </c>
      <c r="C431" s="2" t="str">
        <f>"BM_GWM-200"</f>
        <v>BM_GWM-200</v>
      </c>
      <c r="D431" t="s">
        <v>446</v>
      </c>
      <c r="E431" t="s">
        <v>4</v>
      </c>
      <c r="F431">
        <v>1</v>
      </c>
      <c r="H431" t="s">
        <v>5</v>
      </c>
      <c r="I431" s="1">
        <v>17.489999999999998</v>
      </c>
      <c r="J431" s="1">
        <v>17.489999999999998</v>
      </c>
      <c r="K431" t="s">
        <v>6</v>
      </c>
    </row>
    <row r="432" spans="1:11">
      <c r="A432" t="s">
        <v>442</v>
      </c>
      <c r="B432">
        <v>503912</v>
      </c>
      <c r="C432" s="2" t="str">
        <f>"BM_GWM-300"</f>
        <v>BM_GWM-300</v>
      </c>
      <c r="D432" t="s">
        <v>447</v>
      </c>
      <c r="E432" t="s">
        <v>4</v>
      </c>
      <c r="F432">
        <v>1.5</v>
      </c>
      <c r="H432" t="s">
        <v>5</v>
      </c>
      <c r="I432" s="1">
        <v>21.39</v>
      </c>
      <c r="J432" s="1">
        <v>21.39</v>
      </c>
      <c r="K432" t="s">
        <v>6</v>
      </c>
    </row>
    <row r="433" spans="1:12">
      <c r="A433" t="s">
        <v>442</v>
      </c>
      <c r="B433">
        <v>503914</v>
      </c>
      <c r="C433" s="2" t="str">
        <f>"BM_SS-100"</f>
        <v>BM_SS-100</v>
      </c>
      <c r="D433" t="s">
        <v>448</v>
      </c>
      <c r="E433" t="s">
        <v>4</v>
      </c>
      <c r="F433">
        <v>27</v>
      </c>
      <c r="H433" t="s">
        <v>5</v>
      </c>
      <c r="I433" s="1">
        <v>506.18</v>
      </c>
      <c r="J433" s="1">
        <v>480.87</v>
      </c>
      <c r="K433" t="s">
        <v>6</v>
      </c>
    </row>
    <row r="434" spans="1:12">
      <c r="A434" t="s">
        <v>442</v>
      </c>
      <c r="B434">
        <v>538112</v>
      </c>
      <c r="C434" s="2" t="str">
        <f>"BMP-3100B"</f>
        <v>BMP-3100B</v>
      </c>
      <c r="D434" t="s">
        <v>449</v>
      </c>
      <c r="E434" t="s">
        <v>4</v>
      </c>
      <c r="F434">
        <v>1</v>
      </c>
      <c r="H434" t="s">
        <v>5</v>
      </c>
      <c r="I434" s="1">
        <v>36.880000000000003</v>
      </c>
      <c r="J434" s="1">
        <v>35.04</v>
      </c>
      <c r="K434" t="s">
        <v>6</v>
      </c>
    </row>
    <row r="435" spans="1:12">
      <c r="A435" t="s">
        <v>442</v>
      </c>
      <c r="B435">
        <v>538115</v>
      </c>
      <c r="C435" s="2" t="str">
        <f>"BMP-3125G"</f>
        <v>BMP-3125G</v>
      </c>
      <c r="D435" t="s">
        <v>450</v>
      </c>
      <c r="E435" t="s">
        <v>4</v>
      </c>
      <c r="F435">
        <v>1</v>
      </c>
      <c r="H435" t="s">
        <v>5</v>
      </c>
      <c r="I435" s="1">
        <v>36.880000000000003</v>
      </c>
      <c r="J435" s="1">
        <v>35.04</v>
      </c>
      <c r="K435" t="s">
        <v>6</v>
      </c>
    </row>
    <row r="436" spans="1:12">
      <c r="A436" t="s">
        <v>442</v>
      </c>
      <c r="B436">
        <v>538116</v>
      </c>
      <c r="C436" s="2" t="str">
        <f>"BMP-3125R"</f>
        <v>BMP-3125R</v>
      </c>
      <c r="D436" t="s">
        <v>451</v>
      </c>
      <c r="E436" t="s">
        <v>4</v>
      </c>
      <c r="F436">
        <v>1</v>
      </c>
      <c r="H436" t="s">
        <v>5</v>
      </c>
      <c r="I436" s="1">
        <v>36.880000000000003</v>
      </c>
      <c r="J436" s="1">
        <v>35.04</v>
      </c>
      <c r="K436" t="s">
        <v>6</v>
      </c>
    </row>
    <row r="437" spans="1:12">
      <c r="A437" t="s">
        <v>442</v>
      </c>
      <c r="B437">
        <v>538117</v>
      </c>
      <c r="C437" s="2" t="str">
        <f>"BMP-5100B"</f>
        <v>BMP-5100B</v>
      </c>
      <c r="D437" t="s">
        <v>452</v>
      </c>
      <c r="E437" t="s">
        <v>4</v>
      </c>
      <c r="F437">
        <v>1</v>
      </c>
      <c r="H437" t="s">
        <v>5</v>
      </c>
      <c r="I437" s="1">
        <v>43.72</v>
      </c>
      <c r="J437" s="1">
        <v>41.54</v>
      </c>
      <c r="K437" t="s">
        <v>6</v>
      </c>
    </row>
    <row r="438" spans="1:12">
      <c r="A438" t="s">
        <v>442</v>
      </c>
      <c r="B438">
        <v>538118</v>
      </c>
      <c r="C438" s="2" t="str">
        <f>"BMP-5125G"</f>
        <v>BMP-5125G</v>
      </c>
      <c r="D438" t="s">
        <v>453</v>
      </c>
      <c r="E438" t="s">
        <v>4</v>
      </c>
      <c r="F438">
        <v>1</v>
      </c>
      <c r="H438" t="s">
        <v>5</v>
      </c>
      <c r="I438" s="1">
        <v>43.72</v>
      </c>
      <c r="J438" s="1">
        <v>41.54</v>
      </c>
      <c r="K438" t="s">
        <v>6</v>
      </c>
    </row>
    <row r="439" spans="1:12">
      <c r="A439" t="s">
        <v>442</v>
      </c>
      <c r="B439">
        <v>538120</v>
      </c>
      <c r="C439" s="2" t="str">
        <f>"BMP-5150R"</f>
        <v>BMP-5150R</v>
      </c>
      <c r="D439" t="s">
        <v>454</v>
      </c>
      <c r="E439" t="s">
        <v>4</v>
      </c>
      <c r="F439">
        <v>1</v>
      </c>
      <c r="H439" t="s">
        <v>5</v>
      </c>
      <c r="I439" s="1">
        <v>43.72</v>
      </c>
      <c r="J439" s="1">
        <v>41.54</v>
      </c>
      <c r="K439" t="s">
        <v>6</v>
      </c>
    </row>
    <row r="440" spans="1:12">
      <c r="A440" t="s">
        <v>442</v>
      </c>
      <c r="B440">
        <v>531739</v>
      </c>
      <c r="C440" s="2" t="str">
        <f>"CR-1240"</f>
        <v>CR-1240</v>
      </c>
      <c r="D440" t="s">
        <v>455</v>
      </c>
      <c r="E440" t="s">
        <v>4</v>
      </c>
      <c r="F440">
        <v>0.33</v>
      </c>
      <c r="H440" t="s">
        <v>5</v>
      </c>
      <c r="I440" s="1">
        <v>3.02</v>
      </c>
      <c r="J440" s="1">
        <v>2.86</v>
      </c>
      <c r="K440" t="s">
        <v>6</v>
      </c>
    </row>
    <row r="441" spans="1:12">
      <c r="A441" t="s">
        <v>442</v>
      </c>
      <c r="B441">
        <v>531681</v>
      </c>
      <c r="C441" s="2" t="str">
        <f>"CR-1270"</f>
        <v>CR-1270</v>
      </c>
      <c r="D441" t="s">
        <v>456</v>
      </c>
      <c r="E441" t="s">
        <v>4</v>
      </c>
      <c r="F441">
        <v>14.04</v>
      </c>
      <c r="G441">
        <v>1.17</v>
      </c>
      <c r="H441" t="s">
        <v>106</v>
      </c>
      <c r="I441" s="1">
        <v>4.62</v>
      </c>
      <c r="J441" s="1">
        <v>4.38</v>
      </c>
      <c r="K441" t="s">
        <v>457</v>
      </c>
      <c r="L441" s="1">
        <v>4.82</v>
      </c>
    </row>
    <row r="442" spans="1:12">
      <c r="A442" t="s">
        <v>442</v>
      </c>
      <c r="B442">
        <v>531740</v>
      </c>
      <c r="C442" s="2" t="str">
        <f>"CR-1600"</f>
        <v>CR-1600</v>
      </c>
      <c r="D442" t="s">
        <v>458</v>
      </c>
      <c r="E442" t="s">
        <v>4</v>
      </c>
      <c r="F442">
        <v>0.28999999999999998</v>
      </c>
      <c r="H442" t="s">
        <v>5</v>
      </c>
      <c r="I442" s="1">
        <v>13.46</v>
      </c>
      <c r="J442" s="1">
        <v>12.78</v>
      </c>
      <c r="K442" t="s">
        <v>6</v>
      </c>
    </row>
    <row r="443" spans="1:12">
      <c r="A443" t="s">
        <v>442</v>
      </c>
      <c r="B443">
        <v>538119</v>
      </c>
      <c r="C443" s="2" t="str">
        <f>"CR-1620AC"</f>
        <v>CR-1620AC</v>
      </c>
      <c r="D443" t="s">
        <v>459</v>
      </c>
      <c r="E443" t="s">
        <v>4</v>
      </c>
      <c r="F443">
        <v>3</v>
      </c>
      <c r="H443" t="s">
        <v>5</v>
      </c>
      <c r="I443" s="1">
        <v>13.65</v>
      </c>
      <c r="J443" s="1">
        <v>12.97</v>
      </c>
      <c r="K443" t="s">
        <v>6</v>
      </c>
    </row>
    <row r="444" spans="1:12">
      <c r="A444" t="s">
        <v>442</v>
      </c>
      <c r="B444">
        <v>556323</v>
      </c>
      <c r="C444" s="2" t="str">
        <f>"CR-312"</f>
        <v>CR-312</v>
      </c>
      <c r="D444" t="s">
        <v>460</v>
      </c>
      <c r="E444" t="s">
        <v>4</v>
      </c>
      <c r="F444">
        <v>2.5</v>
      </c>
      <c r="H444" t="s">
        <v>5</v>
      </c>
      <c r="I444" s="1">
        <v>27.69</v>
      </c>
      <c r="J444" s="1">
        <v>26.31</v>
      </c>
      <c r="K444" t="s">
        <v>6</v>
      </c>
    </row>
    <row r="445" spans="1:12">
      <c r="A445" t="s">
        <v>442</v>
      </c>
      <c r="B445">
        <v>554894</v>
      </c>
      <c r="C445" s="2" t="str">
        <f>"CR-700"</f>
        <v>CR-700</v>
      </c>
      <c r="D445" t="s">
        <v>461</v>
      </c>
      <c r="E445" t="s">
        <v>4</v>
      </c>
      <c r="F445">
        <v>0.19</v>
      </c>
      <c r="H445" t="s">
        <v>5</v>
      </c>
      <c r="I445" s="1">
        <v>7.54</v>
      </c>
      <c r="J445" s="1">
        <v>7.16</v>
      </c>
      <c r="K445" t="s">
        <v>6</v>
      </c>
    </row>
    <row r="446" spans="1:12">
      <c r="A446" t="s">
        <v>442</v>
      </c>
      <c r="B446">
        <v>555685</v>
      </c>
      <c r="C446" s="2" t="str">
        <f>"CR-701"</f>
        <v>CR-701</v>
      </c>
      <c r="D446" t="s">
        <v>462</v>
      </c>
      <c r="E446" t="s">
        <v>4</v>
      </c>
      <c r="F446">
        <v>18</v>
      </c>
      <c r="G446">
        <v>0.25</v>
      </c>
      <c r="H446" t="s">
        <v>463</v>
      </c>
      <c r="I446" s="1">
        <v>9.49</v>
      </c>
      <c r="J446" s="1">
        <v>9.02</v>
      </c>
      <c r="K446" t="s">
        <v>464</v>
      </c>
      <c r="L446" s="1">
        <v>9.92</v>
      </c>
    </row>
    <row r="447" spans="1:12">
      <c r="A447" t="s">
        <v>442</v>
      </c>
      <c r="B447">
        <v>531741</v>
      </c>
      <c r="C447" s="2" t="str">
        <f>"CR-7400AC"</f>
        <v>CR-7400AC</v>
      </c>
      <c r="D447" t="s">
        <v>465</v>
      </c>
      <c r="E447" t="s">
        <v>4</v>
      </c>
      <c r="F447">
        <v>32</v>
      </c>
      <c r="H447" t="s">
        <v>5</v>
      </c>
      <c r="I447" s="1">
        <v>142.32</v>
      </c>
      <c r="J447" s="1">
        <v>135.19999999999999</v>
      </c>
      <c r="K447" t="s">
        <v>6</v>
      </c>
    </row>
    <row r="448" spans="1:12">
      <c r="A448" t="s">
        <v>442</v>
      </c>
      <c r="B448">
        <v>531742</v>
      </c>
      <c r="C448" s="2" t="str">
        <f>"CR-753BLK"</f>
        <v>CR-753BLK</v>
      </c>
      <c r="D448" t="s">
        <v>466</v>
      </c>
      <c r="E448" t="s">
        <v>4</v>
      </c>
      <c r="F448">
        <v>4.8</v>
      </c>
      <c r="G448">
        <v>0.8</v>
      </c>
      <c r="H448" t="s">
        <v>20</v>
      </c>
      <c r="I448" s="1">
        <v>4.9400000000000004</v>
      </c>
      <c r="J448" s="1">
        <v>4.6900000000000004</v>
      </c>
      <c r="K448" t="s">
        <v>457</v>
      </c>
      <c r="L448" s="1">
        <v>5.16</v>
      </c>
    </row>
    <row r="449" spans="1:11">
      <c r="A449" t="s">
        <v>442</v>
      </c>
      <c r="B449">
        <v>503905</v>
      </c>
      <c r="C449" s="2" t="str">
        <f>"DIS-201"</f>
        <v>DIS-201</v>
      </c>
      <c r="D449" t="s">
        <v>467</v>
      </c>
      <c r="E449" t="s">
        <v>4</v>
      </c>
      <c r="F449">
        <v>4</v>
      </c>
      <c r="H449" t="s">
        <v>5</v>
      </c>
      <c r="I449" s="1">
        <v>34.97</v>
      </c>
      <c r="J449" s="1">
        <v>34.97</v>
      </c>
      <c r="K449" t="s">
        <v>6</v>
      </c>
    </row>
    <row r="450" spans="1:11">
      <c r="A450" t="s">
        <v>442</v>
      </c>
      <c r="B450">
        <v>503902</v>
      </c>
      <c r="C450" s="2" t="str">
        <f>"LS_DET-200"</f>
        <v>LS_DET-200</v>
      </c>
      <c r="D450" t="s">
        <v>468</v>
      </c>
      <c r="E450" t="s">
        <v>4</v>
      </c>
      <c r="F450">
        <v>37</v>
      </c>
      <c r="H450" t="s">
        <v>5</v>
      </c>
      <c r="I450" s="1">
        <v>38.42</v>
      </c>
      <c r="J450" s="1">
        <v>38.42</v>
      </c>
      <c r="K450" t="s">
        <v>6</v>
      </c>
    </row>
    <row r="451" spans="1:11">
      <c r="A451" t="s">
        <v>442</v>
      </c>
      <c r="B451">
        <v>503910</v>
      </c>
      <c r="C451" s="2" t="str">
        <f>"PTS_BRS-1720SL"</f>
        <v>PTS_BRS-1720SL</v>
      </c>
      <c r="D451" t="s">
        <v>469</v>
      </c>
      <c r="E451" t="s">
        <v>4</v>
      </c>
      <c r="F451">
        <v>1.5</v>
      </c>
      <c r="H451" t="s">
        <v>5</v>
      </c>
      <c r="I451" s="1">
        <v>51.35</v>
      </c>
      <c r="J451" s="1">
        <v>51.35</v>
      </c>
      <c r="K451" t="s">
        <v>6</v>
      </c>
    </row>
    <row r="452" spans="1:11">
      <c r="A452" t="s">
        <v>442</v>
      </c>
      <c r="B452">
        <v>503904</v>
      </c>
      <c r="C452" s="2" t="str">
        <f>"SAN_DIS-202"</f>
        <v>SAN_DIS-202</v>
      </c>
      <c r="D452" t="s">
        <v>470</v>
      </c>
      <c r="E452" t="s">
        <v>4</v>
      </c>
      <c r="F452">
        <v>1</v>
      </c>
      <c r="H452" t="s">
        <v>5</v>
      </c>
      <c r="I452" s="1">
        <v>77.22</v>
      </c>
      <c r="J452" s="1">
        <v>77.22</v>
      </c>
      <c r="K452" t="s">
        <v>6</v>
      </c>
    </row>
    <row r="453" spans="1:11">
      <c r="A453" t="s">
        <v>442</v>
      </c>
      <c r="B453">
        <v>503903</v>
      </c>
      <c r="C453" s="2" t="str">
        <f>"SAN_DIS-302"</f>
        <v>SAN_DIS-302</v>
      </c>
      <c r="D453" t="s">
        <v>471</v>
      </c>
      <c r="E453" t="s">
        <v>4</v>
      </c>
      <c r="F453">
        <v>8</v>
      </c>
      <c r="H453" t="s">
        <v>5</v>
      </c>
      <c r="I453" s="1">
        <v>52.26</v>
      </c>
      <c r="J453" s="1">
        <v>52.26</v>
      </c>
      <c r="K453" t="s">
        <v>6</v>
      </c>
    </row>
    <row r="454" spans="1:11">
      <c r="A454" t="s">
        <v>472</v>
      </c>
      <c r="B454">
        <v>404699</v>
      </c>
      <c r="C454" s="2" t="str">
        <f>"27418"</f>
        <v>27418</v>
      </c>
      <c r="D454" t="s">
        <v>473</v>
      </c>
      <c r="E454" t="s">
        <v>4</v>
      </c>
      <c r="F454">
        <v>8.3000000000000007</v>
      </c>
      <c r="H454" t="s">
        <v>5</v>
      </c>
      <c r="I454" s="1">
        <v>44.79</v>
      </c>
      <c r="J454" s="1">
        <v>44.79</v>
      </c>
      <c r="K454" t="s">
        <v>6</v>
      </c>
    </row>
    <row r="455" spans="1:11">
      <c r="A455" t="s">
        <v>472</v>
      </c>
      <c r="B455">
        <v>474473</v>
      </c>
      <c r="C455" s="2" t="str">
        <f>"663AW"</f>
        <v>663AW</v>
      </c>
      <c r="D455" t="s">
        <v>474</v>
      </c>
      <c r="E455" t="s">
        <v>4</v>
      </c>
      <c r="F455">
        <v>22.5</v>
      </c>
      <c r="H455" t="s">
        <v>5</v>
      </c>
      <c r="I455" s="1">
        <v>59.87</v>
      </c>
      <c r="J455" s="1">
        <v>59.87</v>
      </c>
      <c r="K455" t="s">
        <v>6</v>
      </c>
    </row>
    <row r="456" spans="1:11">
      <c r="A456" t="s">
        <v>472</v>
      </c>
      <c r="B456">
        <v>512983</v>
      </c>
      <c r="C456" s="2" t="str">
        <f>"BEL-663WF"</f>
        <v>BEL-663WF</v>
      </c>
      <c r="D456" t="s">
        <v>475</v>
      </c>
      <c r="E456" t="s">
        <v>4</v>
      </c>
      <c r="F456">
        <v>21.27</v>
      </c>
      <c r="H456" t="s">
        <v>5</v>
      </c>
      <c r="I456" s="1">
        <v>63.92</v>
      </c>
      <c r="J456" s="1">
        <v>63.92</v>
      </c>
      <c r="K456" t="s">
        <v>6</v>
      </c>
    </row>
    <row r="457" spans="1:11">
      <c r="A457" t="s">
        <v>472</v>
      </c>
      <c r="B457">
        <v>479780</v>
      </c>
      <c r="C457" s="2" t="str">
        <f>"C1035BW-12W1"</f>
        <v>C1035BW-12W1</v>
      </c>
      <c r="D457" t="s">
        <v>476</v>
      </c>
      <c r="E457" t="s">
        <v>4</v>
      </c>
      <c r="F457">
        <v>21.5</v>
      </c>
      <c r="H457" t="s">
        <v>5</v>
      </c>
      <c r="I457" s="1">
        <v>33.229999999999997</v>
      </c>
      <c r="J457" s="1">
        <v>33.229999999999997</v>
      </c>
      <c r="K457" t="s">
        <v>6</v>
      </c>
    </row>
    <row r="458" spans="1:11">
      <c r="A458" t="s">
        <v>477</v>
      </c>
      <c r="B458">
        <v>181673</v>
      </c>
      <c r="C458" s="2" t="str">
        <f>"BB100"</f>
        <v>BB100</v>
      </c>
      <c r="D458" t="s">
        <v>478</v>
      </c>
      <c r="E458" t="s">
        <v>4</v>
      </c>
      <c r="F458">
        <v>38.799999999999997</v>
      </c>
      <c r="H458" t="s">
        <v>5</v>
      </c>
      <c r="I458" s="1">
        <v>48.1</v>
      </c>
      <c r="J458" s="1">
        <v>47.97</v>
      </c>
      <c r="K458" t="s">
        <v>6</v>
      </c>
    </row>
    <row r="459" spans="1:11">
      <c r="A459" t="s">
        <v>477</v>
      </c>
      <c r="B459">
        <v>520604</v>
      </c>
      <c r="C459" s="2" t="str">
        <f>"BB400"</f>
        <v>BB400</v>
      </c>
      <c r="D459" t="s">
        <v>479</v>
      </c>
      <c r="E459" t="s">
        <v>4</v>
      </c>
      <c r="F459">
        <v>29.5</v>
      </c>
      <c r="H459" t="s">
        <v>5</v>
      </c>
      <c r="I459" s="1">
        <v>75.34</v>
      </c>
      <c r="J459" s="1">
        <v>75.209999999999994</v>
      </c>
      <c r="K459" t="s">
        <v>6</v>
      </c>
    </row>
    <row r="460" spans="1:11">
      <c r="A460" t="s">
        <v>477</v>
      </c>
      <c r="B460">
        <v>398476</v>
      </c>
      <c r="C460" s="2" t="str">
        <f>"CW300"</f>
        <v>CW300</v>
      </c>
      <c r="D460" t="s">
        <v>480</v>
      </c>
      <c r="E460" t="s">
        <v>4</v>
      </c>
      <c r="F460">
        <v>15.9</v>
      </c>
      <c r="H460" t="s">
        <v>5</v>
      </c>
      <c r="I460" s="1">
        <v>32.83</v>
      </c>
      <c r="J460" s="1">
        <v>32.700000000000003</v>
      </c>
      <c r="K460" t="s">
        <v>6</v>
      </c>
    </row>
    <row r="461" spans="1:11">
      <c r="A461" t="s">
        <v>477</v>
      </c>
      <c r="B461">
        <v>181666</v>
      </c>
      <c r="C461" s="2" t="str">
        <f>"GB100"</f>
        <v>GB100</v>
      </c>
      <c r="D461" t="s">
        <v>481</v>
      </c>
      <c r="E461" t="s">
        <v>4</v>
      </c>
      <c r="F461">
        <v>35.799999999999997</v>
      </c>
      <c r="H461" t="s">
        <v>5</v>
      </c>
      <c r="I461" s="1">
        <v>39</v>
      </c>
      <c r="J461" s="1">
        <v>38.869999999999997</v>
      </c>
      <c r="K461" t="s">
        <v>6</v>
      </c>
    </row>
    <row r="462" spans="1:11">
      <c r="A462" t="s">
        <v>477</v>
      </c>
      <c r="B462">
        <v>181698</v>
      </c>
      <c r="C462" s="2" t="str">
        <f>"GB200"</f>
        <v>GB200</v>
      </c>
      <c r="D462" t="s">
        <v>482</v>
      </c>
      <c r="E462" t="s">
        <v>4</v>
      </c>
      <c r="F462">
        <v>32</v>
      </c>
      <c r="H462" t="s">
        <v>5</v>
      </c>
      <c r="I462" s="1">
        <v>46.41</v>
      </c>
      <c r="J462" s="1">
        <v>46.28</v>
      </c>
      <c r="K462" t="s">
        <v>6</v>
      </c>
    </row>
    <row r="463" spans="1:11">
      <c r="A463" t="s">
        <v>477</v>
      </c>
      <c r="B463">
        <v>181709</v>
      </c>
      <c r="C463" s="2" t="str">
        <f>"LB300"</f>
        <v>LB300</v>
      </c>
      <c r="D463" t="s">
        <v>483</v>
      </c>
      <c r="E463" t="s">
        <v>4</v>
      </c>
      <c r="F463">
        <v>15.9</v>
      </c>
      <c r="H463" t="s">
        <v>5</v>
      </c>
      <c r="I463" s="1">
        <v>35.04</v>
      </c>
      <c r="J463" s="1">
        <v>34.909999999999997</v>
      </c>
      <c r="K463" t="s">
        <v>6</v>
      </c>
    </row>
    <row r="464" spans="1:11">
      <c r="A464" t="s">
        <v>477</v>
      </c>
      <c r="B464">
        <v>533487</v>
      </c>
      <c r="C464" s="2" t="str">
        <f>"LB700"</f>
        <v>LB700</v>
      </c>
      <c r="D464" t="s">
        <v>484</v>
      </c>
      <c r="E464" t="s">
        <v>4</v>
      </c>
      <c r="F464">
        <v>14</v>
      </c>
      <c r="H464" t="s">
        <v>5</v>
      </c>
      <c r="I464" s="1">
        <v>31.82</v>
      </c>
      <c r="J464" s="1">
        <v>31.69</v>
      </c>
      <c r="K464" t="s">
        <v>6</v>
      </c>
    </row>
    <row r="465" spans="1:11">
      <c r="A465" t="s">
        <v>477</v>
      </c>
      <c r="B465">
        <v>345744</v>
      </c>
      <c r="C465" s="2" t="str">
        <f>"SB700"</f>
        <v>SB700</v>
      </c>
      <c r="D465" t="s">
        <v>485</v>
      </c>
      <c r="E465" t="s">
        <v>4</v>
      </c>
      <c r="F465">
        <v>14</v>
      </c>
      <c r="H465" t="s">
        <v>5</v>
      </c>
      <c r="I465" s="1">
        <v>36.18</v>
      </c>
      <c r="J465" s="1">
        <v>36.049999999999997</v>
      </c>
      <c r="K465" t="s">
        <v>6</v>
      </c>
    </row>
    <row r="466" spans="1:11">
      <c r="A466" t="s">
        <v>486</v>
      </c>
      <c r="B466">
        <v>389136</v>
      </c>
      <c r="C466" s="2" t="str">
        <f>"AP42"</f>
        <v>AP42</v>
      </c>
      <c r="D466" t="s">
        <v>487</v>
      </c>
      <c r="E466" t="s">
        <v>4</v>
      </c>
      <c r="F466">
        <v>23</v>
      </c>
      <c r="H466" t="s">
        <v>5</v>
      </c>
      <c r="I466" s="1">
        <v>48.54</v>
      </c>
      <c r="J466" s="1">
        <v>47.13</v>
      </c>
      <c r="K466" t="s">
        <v>6</v>
      </c>
    </row>
    <row r="467" spans="1:11">
      <c r="A467" t="s">
        <v>486</v>
      </c>
      <c r="B467">
        <v>389137</v>
      </c>
      <c r="C467" s="2" t="str">
        <f>"AP46"</f>
        <v>AP46</v>
      </c>
      <c r="D467" t="s">
        <v>488</v>
      </c>
      <c r="E467" t="s">
        <v>4</v>
      </c>
      <c r="F467">
        <v>28</v>
      </c>
      <c r="H467" t="s">
        <v>5</v>
      </c>
      <c r="I467" s="1">
        <v>55.5</v>
      </c>
      <c r="J467" s="1">
        <v>53.89</v>
      </c>
      <c r="K467" t="s">
        <v>6</v>
      </c>
    </row>
    <row r="468" spans="1:11">
      <c r="A468" t="s">
        <v>486</v>
      </c>
      <c r="B468">
        <v>389138</v>
      </c>
      <c r="C468" s="2" t="str">
        <f>"FLOCK102"</f>
        <v>FLOCK102</v>
      </c>
      <c r="D468" t="s">
        <v>489</v>
      </c>
      <c r="E468" t="s">
        <v>4</v>
      </c>
      <c r="F468">
        <v>18.5</v>
      </c>
      <c r="H468" t="s">
        <v>5</v>
      </c>
      <c r="I468" s="1">
        <v>94.19</v>
      </c>
      <c r="J468" s="1">
        <v>91.44</v>
      </c>
      <c r="K468" t="s">
        <v>6</v>
      </c>
    </row>
    <row r="469" spans="1:11">
      <c r="A469" t="s">
        <v>486</v>
      </c>
      <c r="B469">
        <v>389140</v>
      </c>
      <c r="C469" s="2" t="str">
        <f>"FLOCK103"</f>
        <v>FLOCK103</v>
      </c>
      <c r="D469" t="s">
        <v>490</v>
      </c>
      <c r="E469" t="s">
        <v>4</v>
      </c>
      <c r="F469">
        <v>20</v>
      </c>
      <c r="H469" t="s">
        <v>5</v>
      </c>
      <c r="I469" s="1">
        <v>94.19</v>
      </c>
      <c r="J469" s="1">
        <v>91.44</v>
      </c>
      <c r="K469" t="s">
        <v>6</v>
      </c>
    </row>
    <row r="470" spans="1:11">
      <c r="A470" t="s">
        <v>486</v>
      </c>
      <c r="B470">
        <v>387550</v>
      </c>
      <c r="C470" s="2" t="str">
        <f>"NMLX101"</f>
        <v>NMLX101</v>
      </c>
      <c r="D470" t="s">
        <v>491</v>
      </c>
      <c r="E470" t="s">
        <v>4</v>
      </c>
      <c r="F470">
        <v>14.5</v>
      </c>
      <c r="H470" t="s">
        <v>5</v>
      </c>
      <c r="I470" s="1">
        <v>43.03</v>
      </c>
      <c r="J470" s="1">
        <v>42.19</v>
      </c>
      <c r="K470" t="s">
        <v>6</v>
      </c>
    </row>
    <row r="471" spans="1:11">
      <c r="A471" t="s">
        <v>486</v>
      </c>
      <c r="B471">
        <v>387556</v>
      </c>
      <c r="C471" s="2" t="str">
        <f>"NMLX102"</f>
        <v>NMLX102</v>
      </c>
      <c r="D471" t="s">
        <v>492</v>
      </c>
      <c r="E471" t="s">
        <v>4</v>
      </c>
      <c r="F471">
        <v>15</v>
      </c>
      <c r="H471" t="s">
        <v>5</v>
      </c>
      <c r="I471" s="1">
        <v>43.03</v>
      </c>
      <c r="J471" s="1">
        <v>42.19</v>
      </c>
      <c r="K471" t="s">
        <v>6</v>
      </c>
    </row>
    <row r="472" spans="1:11">
      <c r="A472" t="s">
        <v>486</v>
      </c>
      <c r="B472">
        <v>387557</v>
      </c>
      <c r="C472" s="2" t="str">
        <f>"NMLX103"</f>
        <v>NMLX103</v>
      </c>
      <c r="D472" t="s">
        <v>493</v>
      </c>
      <c r="E472" t="s">
        <v>4</v>
      </c>
      <c r="F472">
        <v>15</v>
      </c>
      <c r="H472" t="s">
        <v>5</v>
      </c>
      <c r="I472" s="1">
        <v>43.03</v>
      </c>
      <c r="J472" s="1">
        <v>42.19</v>
      </c>
      <c r="K472" t="s">
        <v>6</v>
      </c>
    </row>
    <row r="473" spans="1:11">
      <c r="A473" t="s">
        <v>486</v>
      </c>
      <c r="B473">
        <v>387559</v>
      </c>
      <c r="C473" s="2" t="str">
        <f>"NMLX104"</f>
        <v>NMLX104</v>
      </c>
      <c r="D473" t="s">
        <v>494</v>
      </c>
      <c r="E473" t="s">
        <v>4</v>
      </c>
      <c r="F473">
        <v>15.5</v>
      </c>
      <c r="H473" t="s">
        <v>5</v>
      </c>
      <c r="I473" s="1">
        <v>43.03</v>
      </c>
      <c r="J473" s="1">
        <v>42.19</v>
      </c>
      <c r="K473" t="s">
        <v>6</v>
      </c>
    </row>
    <row r="474" spans="1:11">
      <c r="A474" t="s">
        <v>486</v>
      </c>
      <c r="B474">
        <v>413392</v>
      </c>
      <c r="C474" s="2" t="str">
        <f>"NMNITPF102"</f>
        <v>NMNITPF102</v>
      </c>
      <c r="D474" t="s">
        <v>495</v>
      </c>
      <c r="E474" t="s">
        <v>4</v>
      </c>
      <c r="F474">
        <v>13</v>
      </c>
      <c r="H474" t="s">
        <v>5</v>
      </c>
      <c r="I474" s="1">
        <v>58.98</v>
      </c>
      <c r="J474" s="1">
        <v>57.27</v>
      </c>
      <c r="K474" t="s">
        <v>6</v>
      </c>
    </row>
    <row r="475" spans="1:11">
      <c r="A475" t="s">
        <v>486</v>
      </c>
      <c r="B475">
        <v>409268</v>
      </c>
      <c r="C475" s="2" t="str">
        <f>"NMNITPF103"</f>
        <v>NMNITPF103</v>
      </c>
      <c r="D475" t="s">
        <v>496</v>
      </c>
      <c r="E475" t="s">
        <v>4</v>
      </c>
      <c r="F475">
        <v>15</v>
      </c>
      <c r="H475" t="s">
        <v>5</v>
      </c>
      <c r="I475" s="1">
        <v>58.98</v>
      </c>
      <c r="J475" s="1">
        <v>57.27</v>
      </c>
      <c r="K475" t="s">
        <v>6</v>
      </c>
    </row>
    <row r="476" spans="1:11">
      <c r="A476" t="s">
        <v>486</v>
      </c>
      <c r="B476">
        <v>413394</v>
      </c>
      <c r="C476" s="2" t="str">
        <f>"NMNITPF104"</f>
        <v>NMNITPF104</v>
      </c>
      <c r="D476" t="s">
        <v>497</v>
      </c>
      <c r="E476" t="s">
        <v>4</v>
      </c>
      <c r="F476">
        <v>16</v>
      </c>
      <c r="H476" t="s">
        <v>5</v>
      </c>
      <c r="I476" s="1">
        <v>58.98</v>
      </c>
      <c r="J476" s="1">
        <v>57.27</v>
      </c>
      <c r="K476" t="s">
        <v>6</v>
      </c>
    </row>
    <row r="477" spans="1:11">
      <c r="A477" t="s">
        <v>486</v>
      </c>
      <c r="B477">
        <v>387560</v>
      </c>
      <c r="C477" s="2" t="str">
        <f>"NMPF101"</f>
        <v>NMPF101</v>
      </c>
      <c r="D477" t="s">
        <v>498</v>
      </c>
      <c r="E477" t="s">
        <v>4</v>
      </c>
      <c r="F477">
        <v>13</v>
      </c>
      <c r="H477" t="s">
        <v>5</v>
      </c>
      <c r="I477" s="1">
        <v>52.44</v>
      </c>
      <c r="J477" s="1">
        <v>51.42</v>
      </c>
      <c r="K477" t="s">
        <v>6</v>
      </c>
    </row>
    <row r="478" spans="1:11">
      <c r="A478" t="s">
        <v>486</v>
      </c>
      <c r="B478">
        <v>387562</v>
      </c>
      <c r="C478" s="2" t="str">
        <f>"NMPF102"</f>
        <v>NMPF102</v>
      </c>
      <c r="D478" t="s">
        <v>499</v>
      </c>
      <c r="E478" t="s">
        <v>4</v>
      </c>
      <c r="F478">
        <v>15</v>
      </c>
      <c r="H478" t="s">
        <v>5</v>
      </c>
      <c r="I478" s="1">
        <v>52.44</v>
      </c>
      <c r="J478" s="1">
        <v>51.42</v>
      </c>
      <c r="K478" t="s">
        <v>6</v>
      </c>
    </row>
    <row r="479" spans="1:11">
      <c r="A479" t="s">
        <v>486</v>
      </c>
      <c r="B479">
        <v>387563</v>
      </c>
      <c r="C479" s="2" t="str">
        <f>"NMPF103"</f>
        <v>NMPF103</v>
      </c>
      <c r="D479" t="s">
        <v>500</v>
      </c>
      <c r="E479" t="s">
        <v>4</v>
      </c>
      <c r="F479">
        <v>16</v>
      </c>
      <c r="H479" t="s">
        <v>5</v>
      </c>
      <c r="I479" s="1">
        <v>52.44</v>
      </c>
      <c r="J479" s="1">
        <v>51.42</v>
      </c>
      <c r="K479" t="s">
        <v>6</v>
      </c>
    </row>
    <row r="480" spans="1:11">
      <c r="A480" t="s">
        <v>486</v>
      </c>
      <c r="B480">
        <v>387565</v>
      </c>
      <c r="C480" s="2" t="str">
        <f>"NMPF104"</f>
        <v>NMPF104</v>
      </c>
      <c r="D480" t="s">
        <v>501</v>
      </c>
      <c r="E480" t="s">
        <v>4</v>
      </c>
      <c r="F480">
        <v>19</v>
      </c>
      <c r="H480" t="s">
        <v>5</v>
      </c>
      <c r="I480" s="1">
        <v>52.44</v>
      </c>
      <c r="J480" s="1">
        <v>51.42</v>
      </c>
      <c r="K480" t="s">
        <v>6</v>
      </c>
    </row>
    <row r="481" spans="1:11">
      <c r="A481" t="s">
        <v>486</v>
      </c>
      <c r="B481">
        <v>419361</v>
      </c>
      <c r="C481" s="2" t="str">
        <f>"NMSYNPF102"</f>
        <v>NMSYNPF102</v>
      </c>
      <c r="D481" t="s">
        <v>502</v>
      </c>
      <c r="E481" t="s">
        <v>4</v>
      </c>
      <c r="F481">
        <v>14.5</v>
      </c>
      <c r="H481" t="s">
        <v>5</v>
      </c>
      <c r="I481" s="1">
        <v>41.31</v>
      </c>
      <c r="J481" s="1">
        <v>40.11</v>
      </c>
      <c r="K481" t="s">
        <v>6</v>
      </c>
    </row>
    <row r="482" spans="1:11">
      <c r="A482" t="s">
        <v>486</v>
      </c>
      <c r="B482">
        <v>419363</v>
      </c>
      <c r="C482" s="2" t="str">
        <f>"NMSYNPF103"</f>
        <v>NMSYNPF103</v>
      </c>
      <c r="D482" t="s">
        <v>503</v>
      </c>
      <c r="E482" t="s">
        <v>4</v>
      </c>
      <c r="F482">
        <v>16</v>
      </c>
      <c r="H482" t="s">
        <v>5</v>
      </c>
      <c r="I482" s="1">
        <v>41.31</v>
      </c>
      <c r="J482" s="1">
        <v>40.11</v>
      </c>
      <c r="K482" t="s">
        <v>6</v>
      </c>
    </row>
    <row r="483" spans="1:11">
      <c r="A483" t="s">
        <v>486</v>
      </c>
      <c r="B483">
        <v>419364</v>
      </c>
      <c r="C483" s="2" t="str">
        <f>"NMSYNPF104"</f>
        <v>NMSYNPF104</v>
      </c>
      <c r="D483" t="s">
        <v>504</v>
      </c>
      <c r="E483" t="s">
        <v>4</v>
      </c>
      <c r="F483">
        <v>17</v>
      </c>
      <c r="H483" t="s">
        <v>5</v>
      </c>
      <c r="I483" s="1">
        <v>41.31</v>
      </c>
      <c r="J483" s="1">
        <v>40.11</v>
      </c>
      <c r="K483" t="s">
        <v>6</v>
      </c>
    </row>
    <row r="484" spans="1:11">
      <c r="A484" t="s">
        <v>486</v>
      </c>
      <c r="B484">
        <v>387567</v>
      </c>
      <c r="C484" s="2" t="str">
        <f>"NMVL101"</f>
        <v>NMVL101</v>
      </c>
      <c r="D484" t="s">
        <v>505</v>
      </c>
      <c r="E484" t="s">
        <v>4</v>
      </c>
      <c r="F484">
        <v>12</v>
      </c>
      <c r="H484" t="s">
        <v>5</v>
      </c>
      <c r="I484" s="1">
        <v>30.84</v>
      </c>
      <c r="J484" s="1">
        <v>30.23</v>
      </c>
      <c r="K484" t="s">
        <v>6</v>
      </c>
    </row>
    <row r="485" spans="1:11">
      <c r="A485" t="s">
        <v>486</v>
      </c>
      <c r="B485">
        <v>387568</v>
      </c>
      <c r="C485" s="2" t="str">
        <f>"NMVL102"</f>
        <v>NMVL102</v>
      </c>
      <c r="D485" t="s">
        <v>506</v>
      </c>
      <c r="E485" t="s">
        <v>4</v>
      </c>
      <c r="F485">
        <v>12</v>
      </c>
      <c r="H485" t="s">
        <v>5</v>
      </c>
      <c r="I485" s="1">
        <v>30.84</v>
      </c>
      <c r="J485" s="1">
        <v>30.23</v>
      </c>
      <c r="K485" t="s">
        <v>6</v>
      </c>
    </row>
    <row r="486" spans="1:11">
      <c r="A486" t="s">
        <v>486</v>
      </c>
      <c r="B486">
        <v>387569</v>
      </c>
      <c r="C486" s="2" t="str">
        <f>"NMVL103"</f>
        <v>NMVL103</v>
      </c>
      <c r="D486" t="s">
        <v>507</v>
      </c>
      <c r="E486" t="s">
        <v>4</v>
      </c>
      <c r="F486">
        <v>12</v>
      </c>
      <c r="H486" t="s">
        <v>5</v>
      </c>
      <c r="I486" s="1">
        <v>30.84</v>
      </c>
      <c r="J486" s="1">
        <v>30.23</v>
      </c>
      <c r="K486" t="s">
        <v>6</v>
      </c>
    </row>
    <row r="487" spans="1:11">
      <c r="A487" t="s">
        <v>486</v>
      </c>
      <c r="B487">
        <v>387571</v>
      </c>
      <c r="C487" s="2" t="str">
        <f>"NMVL104"</f>
        <v>NMVL104</v>
      </c>
      <c r="D487" t="s">
        <v>508</v>
      </c>
      <c r="E487" t="s">
        <v>4</v>
      </c>
      <c r="F487">
        <v>15</v>
      </c>
      <c r="H487" t="s">
        <v>5</v>
      </c>
      <c r="I487" s="1">
        <v>30.84</v>
      </c>
      <c r="J487" s="1">
        <v>30.23</v>
      </c>
      <c r="K487" t="s">
        <v>6</v>
      </c>
    </row>
    <row r="488" spans="1:11">
      <c r="A488" t="s">
        <v>486</v>
      </c>
      <c r="B488">
        <v>387572</v>
      </c>
      <c r="C488" s="2" t="str">
        <f>"NMVLPF101"</f>
        <v>NMVLPF101</v>
      </c>
      <c r="D488" t="s">
        <v>509</v>
      </c>
      <c r="E488" t="s">
        <v>4</v>
      </c>
      <c r="F488">
        <v>11</v>
      </c>
      <c r="H488" t="s">
        <v>5</v>
      </c>
      <c r="I488" s="1">
        <v>31.5</v>
      </c>
      <c r="J488" s="1">
        <v>30.88</v>
      </c>
      <c r="K488" t="s">
        <v>6</v>
      </c>
    </row>
    <row r="489" spans="1:11">
      <c r="A489" t="s">
        <v>486</v>
      </c>
      <c r="B489">
        <v>386558</v>
      </c>
      <c r="C489" s="2" t="str">
        <f>"NMVLPF102"</f>
        <v>NMVLPF102</v>
      </c>
      <c r="D489" t="s">
        <v>510</v>
      </c>
      <c r="E489" t="s">
        <v>4</v>
      </c>
      <c r="F489">
        <v>12</v>
      </c>
      <c r="H489" t="s">
        <v>5</v>
      </c>
      <c r="I489" s="1">
        <v>31.5</v>
      </c>
      <c r="J489" s="1">
        <v>30.88</v>
      </c>
      <c r="K489" t="s">
        <v>6</v>
      </c>
    </row>
    <row r="490" spans="1:11">
      <c r="A490" t="s">
        <v>486</v>
      </c>
      <c r="B490">
        <v>386559</v>
      </c>
      <c r="C490" s="2" t="str">
        <f>"NMVLPF103"</f>
        <v>NMVLPF103</v>
      </c>
      <c r="D490" t="s">
        <v>511</v>
      </c>
      <c r="E490" t="s">
        <v>4</v>
      </c>
      <c r="F490">
        <v>13</v>
      </c>
      <c r="H490" t="s">
        <v>5</v>
      </c>
      <c r="I490" s="1">
        <v>31.5</v>
      </c>
      <c r="J490" s="1">
        <v>30.88</v>
      </c>
      <c r="K490" t="s">
        <v>6</v>
      </c>
    </row>
    <row r="491" spans="1:11">
      <c r="A491" t="s">
        <v>486</v>
      </c>
      <c r="B491">
        <v>387574</v>
      </c>
      <c r="C491" s="2" t="str">
        <f>"NMVLPF104"</f>
        <v>NMVLPF104</v>
      </c>
      <c r="D491" t="s">
        <v>512</v>
      </c>
      <c r="E491" t="s">
        <v>4</v>
      </c>
      <c r="F491">
        <v>14</v>
      </c>
      <c r="H491" t="s">
        <v>5</v>
      </c>
      <c r="I491" s="1">
        <v>31.5</v>
      </c>
      <c r="J491" s="1">
        <v>30.88</v>
      </c>
      <c r="K491" t="s">
        <v>6</v>
      </c>
    </row>
    <row r="492" spans="1:11">
      <c r="A492" t="s">
        <v>486</v>
      </c>
      <c r="B492">
        <v>387578</v>
      </c>
      <c r="C492" s="2" t="str">
        <f>"POLY102"</f>
        <v>POLY102</v>
      </c>
      <c r="D492" t="s">
        <v>513</v>
      </c>
      <c r="E492" t="s">
        <v>4</v>
      </c>
      <c r="F492">
        <v>21</v>
      </c>
      <c r="H492" t="s">
        <v>5</v>
      </c>
      <c r="I492" s="1">
        <v>64.81</v>
      </c>
      <c r="J492" s="1">
        <v>62.92</v>
      </c>
      <c r="K492" t="s">
        <v>6</v>
      </c>
    </row>
    <row r="493" spans="1:11">
      <c r="A493" t="s">
        <v>486</v>
      </c>
      <c r="B493">
        <v>387580</v>
      </c>
      <c r="C493" s="2" t="str">
        <f>"POLY103"</f>
        <v>POLY103</v>
      </c>
      <c r="D493" t="s">
        <v>514</v>
      </c>
      <c r="E493" t="s">
        <v>4</v>
      </c>
      <c r="F493">
        <v>21.5</v>
      </c>
      <c r="H493" t="s">
        <v>5</v>
      </c>
      <c r="I493" s="1">
        <v>64.81</v>
      </c>
      <c r="J493" s="1">
        <v>62.92</v>
      </c>
      <c r="K493" t="s">
        <v>6</v>
      </c>
    </row>
    <row r="494" spans="1:11">
      <c r="A494" t="s">
        <v>515</v>
      </c>
      <c r="B494">
        <v>288807</v>
      </c>
      <c r="C494" s="2" t="str">
        <f>"20100.0000"</f>
        <v>20100.0000</v>
      </c>
      <c r="D494" t="s">
        <v>516</v>
      </c>
      <c r="E494" t="s">
        <v>4</v>
      </c>
      <c r="F494">
        <v>6</v>
      </c>
      <c r="H494" t="s">
        <v>5</v>
      </c>
      <c r="I494" s="1">
        <v>11.96</v>
      </c>
      <c r="J494" s="1">
        <v>11.96</v>
      </c>
      <c r="K494" t="s">
        <v>6</v>
      </c>
    </row>
    <row r="495" spans="1:11">
      <c r="A495" t="s">
        <v>515</v>
      </c>
      <c r="B495">
        <v>289574</v>
      </c>
      <c r="C495" s="2" t="str">
        <f>"20106.0000"</f>
        <v>20106.0000</v>
      </c>
      <c r="D495" t="s">
        <v>517</v>
      </c>
      <c r="E495" t="s">
        <v>4</v>
      </c>
      <c r="F495">
        <v>4</v>
      </c>
      <c r="H495" t="s">
        <v>5</v>
      </c>
      <c r="I495" s="1">
        <v>8.5500000000000007</v>
      </c>
      <c r="J495" s="1">
        <v>8.5500000000000007</v>
      </c>
      <c r="K495" t="s">
        <v>6</v>
      </c>
    </row>
    <row r="496" spans="1:11">
      <c r="A496" t="s">
        <v>515</v>
      </c>
      <c r="B496">
        <v>387880</v>
      </c>
      <c r="C496" s="2" t="str">
        <f>"20106.0008"</f>
        <v>20106.0008</v>
      </c>
      <c r="D496" t="s">
        <v>518</v>
      </c>
      <c r="E496" t="s">
        <v>4</v>
      </c>
      <c r="F496">
        <v>4</v>
      </c>
      <c r="H496" t="s">
        <v>5</v>
      </c>
      <c r="I496" s="1">
        <v>8.6300000000000008</v>
      </c>
      <c r="J496" s="1">
        <v>8.6300000000000008</v>
      </c>
      <c r="K496" t="s">
        <v>6</v>
      </c>
    </row>
    <row r="497" spans="1:11">
      <c r="A497" t="s">
        <v>515</v>
      </c>
      <c r="B497">
        <v>289663</v>
      </c>
      <c r="C497" s="2" t="str">
        <f>"20109.0000"</f>
        <v>20109.0000</v>
      </c>
      <c r="D497" t="s">
        <v>519</v>
      </c>
      <c r="E497" t="s">
        <v>4</v>
      </c>
      <c r="F497">
        <v>7</v>
      </c>
      <c r="H497" t="s">
        <v>5</v>
      </c>
      <c r="I497" s="1">
        <v>11.32</v>
      </c>
      <c r="J497" s="1">
        <v>11.32</v>
      </c>
      <c r="K497" t="s">
        <v>6</v>
      </c>
    </row>
    <row r="498" spans="1:11">
      <c r="A498" t="s">
        <v>515</v>
      </c>
      <c r="B498">
        <v>289624</v>
      </c>
      <c r="C498" s="2" t="str">
        <f>"20111.0000"</f>
        <v>20111.0000</v>
      </c>
      <c r="D498" t="s">
        <v>520</v>
      </c>
      <c r="E498" t="s">
        <v>4</v>
      </c>
      <c r="F498">
        <v>9</v>
      </c>
      <c r="H498" t="s">
        <v>5</v>
      </c>
      <c r="I498" s="1">
        <v>15.65</v>
      </c>
      <c r="J498" s="1">
        <v>15.65</v>
      </c>
      <c r="K498" t="s">
        <v>6</v>
      </c>
    </row>
    <row r="499" spans="1:11">
      <c r="A499" t="s">
        <v>515</v>
      </c>
      <c r="B499">
        <v>289656</v>
      </c>
      <c r="C499" s="2" t="str">
        <f>"20112.0000"</f>
        <v>20112.0000</v>
      </c>
      <c r="D499" t="s">
        <v>521</v>
      </c>
      <c r="E499" t="s">
        <v>4</v>
      </c>
      <c r="F499">
        <v>7</v>
      </c>
      <c r="H499" t="s">
        <v>5</v>
      </c>
      <c r="I499" s="1">
        <v>11.77</v>
      </c>
      <c r="J499" s="1">
        <v>11.77</v>
      </c>
      <c r="K499" t="s">
        <v>6</v>
      </c>
    </row>
    <row r="500" spans="1:11">
      <c r="A500" t="s">
        <v>515</v>
      </c>
      <c r="B500">
        <v>288789</v>
      </c>
      <c r="C500" s="2" t="str">
        <f>"20113.0000"</f>
        <v>20113.0000</v>
      </c>
      <c r="D500" t="s">
        <v>522</v>
      </c>
      <c r="E500" t="s">
        <v>4</v>
      </c>
      <c r="F500">
        <v>12</v>
      </c>
      <c r="H500" t="s">
        <v>5</v>
      </c>
      <c r="I500" s="1">
        <v>17.600000000000001</v>
      </c>
      <c r="J500" s="1">
        <v>17.600000000000001</v>
      </c>
      <c r="K500" t="s">
        <v>6</v>
      </c>
    </row>
    <row r="501" spans="1:11">
      <c r="A501" t="s">
        <v>515</v>
      </c>
      <c r="B501">
        <v>287153</v>
      </c>
      <c r="C501" s="2" t="str">
        <f>"20115.0000"</f>
        <v>20115.0000</v>
      </c>
      <c r="D501" t="s">
        <v>523</v>
      </c>
      <c r="E501" t="s">
        <v>4</v>
      </c>
      <c r="F501">
        <v>5</v>
      </c>
      <c r="H501" t="s">
        <v>5</v>
      </c>
      <c r="I501" s="1">
        <v>8.85</v>
      </c>
      <c r="J501" s="1">
        <v>8.85</v>
      </c>
      <c r="K501" t="s">
        <v>6</v>
      </c>
    </row>
    <row r="502" spans="1:11">
      <c r="A502" t="s">
        <v>515</v>
      </c>
      <c r="B502">
        <v>387879</v>
      </c>
      <c r="C502" s="2" t="str">
        <f>"20115.0010"</f>
        <v>20115.0010</v>
      </c>
      <c r="D502" t="s">
        <v>524</v>
      </c>
      <c r="E502" t="s">
        <v>4</v>
      </c>
      <c r="F502">
        <v>5</v>
      </c>
      <c r="H502" t="s">
        <v>5</v>
      </c>
      <c r="I502" s="1">
        <v>8.85</v>
      </c>
      <c r="J502" s="1">
        <v>8.85</v>
      </c>
      <c r="K502" t="s">
        <v>6</v>
      </c>
    </row>
    <row r="503" spans="1:11">
      <c r="A503" t="s">
        <v>515</v>
      </c>
      <c r="B503">
        <v>289581</v>
      </c>
      <c r="C503" s="2" t="str">
        <f>"20120.0000"</f>
        <v>20120.0000</v>
      </c>
      <c r="D503" t="s">
        <v>525</v>
      </c>
      <c r="E503" t="s">
        <v>4</v>
      </c>
      <c r="F503">
        <v>9</v>
      </c>
      <c r="H503" t="s">
        <v>5</v>
      </c>
      <c r="I503" s="1">
        <v>13.46</v>
      </c>
      <c r="J503" s="1">
        <v>13.46</v>
      </c>
      <c r="K503" t="s">
        <v>6</v>
      </c>
    </row>
    <row r="504" spans="1:11">
      <c r="A504" t="s">
        <v>515</v>
      </c>
      <c r="B504">
        <v>343748</v>
      </c>
      <c r="C504" s="2" t="str">
        <f>"20122.0000"</f>
        <v>20122.0000</v>
      </c>
      <c r="D504" t="s">
        <v>526</v>
      </c>
      <c r="E504" t="s">
        <v>4</v>
      </c>
      <c r="F504">
        <v>5</v>
      </c>
      <c r="H504" t="s">
        <v>5</v>
      </c>
      <c r="I504" s="1">
        <v>10.050000000000001</v>
      </c>
      <c r="J504" s="1">
        <v>10.050000000000001</v>
      </c>
      <c r="K504" t="s">
        <v>6</v>
      </c>
    </row>
    <row r="505" spans="1:11">
      <c r="A505" t="s">
        <v>515</v>
      </c>
      <c r="B505">
        <v>289617</v>
      </c>
      <c r="C505" s="2" t="str">
        <f>"20125.0000"</f>
        <v>20125.0000</v>
      </c>
      <c r="D505" t="s">
        <v>527</v>
      </c>
      <c r="E505" t="s">
        <v>4</v>
      </c>
      <c r="F505">
        <v>10</v>
      </c>
      <c r="H505" t="s">
        <v>5</v>
      </c>
      <c r="I505" s="1">
        <v>15.65</v>
      </c>
      <c r="J505" s="1">
        <v>15.65</v>
      </c>
      <c r="K505" t="s">
        <v>6</v>
      </c>
    </row>
    <row r="506" spans="1:11">
      <c r="A506" t="s">
        <v>515</v>
      </c>
      <c r="B506">
        <v>289599</v>
      </c>
      <c r="C506" s="2" t="str">
        <f>"20131.0000"</f>
        <v>20131.0000</v>
      </c>
      <c r="D506" t="s">
        <v>528</v>
      </c>
      <c r="E506" t="s">
        <v>4</v>
      </c>
      <c r="F506">
        <v>12</v>
      </c>
      <c r="H506" t="s">
        <v>5</v>
      </c>
      <c r="I506" s="1">
        <v>20.74</v>
      </c>
      <c r="J506" s="1">
        <v>20.74</v>
      </c>
      <c r="K506" t="s">
        <v>6</v>
      </c>
    </row>
    <row r="507" spans="1:11">
      <c r="A507" t="s">
        <v>515</v>
      </c>
      <c r="B507">
        <v>352437</v>
      </c>
      <c r="C507" s="2" t="str">
        <f>"20138.0000"</f>
        <v>20138.0000</v>
      </c>
      <c r="D507" t="s">
        <v>529</v>
      </c>
      <c r="E507" t="s">
        <v>4</v>
      </c>
      <c r="F507">
        <v>6</v>
      </c>
      <c r="H507" t="s">
        <v>5</v>
      </c>
      <c r="I507" s="1">
        <v>11.96</v>
      </c>
      <c r="J507" s="1">
        <v>11.96</v>
      </c>
      <c r="K507" t="s">
        <v>6</v>
      </c>
    </row>
    <row r="508" spans="1:11">
      <c r="A508" t="s">
        <v>530</v>
      </c>
      <c r="B508">
        <v>514011</v>
      </c>
      <c r="C508" s="2" t="str">
        <f>"04238.0000"</f>
        <v>04238.0000</v>
      </c>
      <c r="D508" t="s">
        <v>531</v>
      </c>
      <c r="E508" t="s">
        <v>4</v>
      </c>
      <c r="F508">
        <v>0.37</v>
      </c>
      <c r="H508" t="s">
        <v>5</v>
      </c>
      <c r="I508" s="1">
        <v>5.07</v>
      </c>
      <c r="J508" s="1">
        <v>5.07</v>
      </c>
      <c r="K508" t="s">
        <v>6</v>
      </c>
    </row>
    <row r="509" spans="1:11">
      <c r="A509" t="s">
        <v>530</v>
      </c>
      <c r="B509">
        <v>497099</v>
      </c>
      <c r="C509" s="2" t="str">
        <f>"06100.0103"</f>
        <v>06100.0103</v>
      </c>
      <c r="D509" t="s">
        <v>532</v>
      </c>
      <c r="E509" t="s">
        <v>4</v>
      </c>
      <c r="F509">
        <v>3</v>
      </c>
      <c r="H509" t="s">
        <v>5</v>
      </c>
      <c r="I509" s="1">
        <v>61.43</v>
      </c>
      <c r="J509" s="1">
        <v>61.43</v>
      </c>
      <c r="K509" t="s">
        <v>6</v>
      </c>
    </row>
    <row r="510" spans="1:11">
      <c r="A510" t="s">
        <v>530</v>
      </c>
      <c r="B510">
        <v>497110</v>
      </c>
      <c r="C510" s="2" t="str">
        <f>"06101.0103"</f>
        <v>06101.0103</v>
      </c>
      <c r="D510" t="s">
        <v>533</v>
      </c>
      <c r="E510" t="s">
        <v>4</v>
      </c>
      <c r="F510">
        <v>3</v>
      </c>
      <c r="H510" t="s">
        <v>5</v>
      </c>
      <c r="I510" s="1">
        <v>61.43</v>
      </c>
      <c r="J510" s="1">
        <v>61.43</v>
      </c>
      <c r="K510" t="s">
        <v>6</v>
      </c>
    </row>
    <row r="511" spans="1:11">
      <c r="A511" t="s">
        <v>530</v>
      </c>
      <c r="B511">
        <v>497074</v>
      </c>
      <c r="C511" s="2" t="str">
        <f>"06310.0004"</f>
        <v>06310.0004</v>
      </c>
      <c r="D511" t="s">
        <v>534</v>
      </c>
      <c r="E511" t="s">
        <v>4</v>
      </c>
      <c r="F511">
        <v>4</v>
      </c>
      <c r="H511" t="s">
        <v>5</v>
      </c>
      <c r="I511" s="1">
        <v>63.7</v>
      </c>
      <c r="J511" s="1">
        <v>57.2</v>
      </c>
      <c r="K511" t="s">
        <v>6</v>
      </c>
    </row>
    <row r="512" spans="1:11">
      <c r="A512" t="s">
        <v>530</v>
      </c>
      <c r="B512">
        <v>497068</v>
      </c>
      <c r="C512" s="2" t="str">
        <f>"12950.0212"</f>
        <v>12950.0212</v>
      </c>
      <c r="D512" t="s">
        <v>535</v>
      </c>
      <c r="E512" t="s">
        <v>4</v>
      </c>
      <c r="F512">
        <v>37.9</v>
      </c>
      <c r="H512" t="s">
        <v>5</v>
      </c>
      <c r="I512" s="1">
        <v>731.9</v>
      </c>
      <c r="J512" s="1">
        <v>659.1</v>
      </c>
      <c r="K512" t="s">
        <v>6</v>
      </c>
    </row>
    <row r="513" spans="1:12">
      <c r="A513" t="s">
        <v>530</v>
      </c>
      <c r="B513">
        <v>497066</v>
      </c>
      <c r="C513" s="2" t="str">
        <f>"12950.0213"</f>
        <v>12950.0213</v>
      </c>
      <c r="D513" t="s">
        <v>536</v>
      </c>
      <c r="E513" t="s">
        <v>4</v>
      </c>
      <c r="F513">
        <v>33</v>
      </c>
      <c r="H513" t="s">
        <v>5</v>
      </c>
      <c r="I513" s="1">
        <v>712.4</v>
      </c>
      <c r="J513" s="1">
        <v>640.9</v>
      </c>
      <c r="K513" t="s">
        <v>6</v>
      </c>
    </row>
    <row r="514" spans="1:12">
      <c r="A514" t="s">
        <v>530</v>
      </c>
      <c r="B514">
        <v>501860</v>
      </c>
      <c r="C514" s="2" t="str">
        <f>"13300.0002"</f>
        <v>13300.0002</v>
      </c>
      <c r="D514" t="s">
        <v>537</v>
      </c>
      <c r="E514" t="s">
        <v>4</v>
      </c>
      <c r="F514">
        <v>24</v>
      </c>
      <c r="H514" t="s">
        <v>5</v>
      </c>
      <c r="I514" s="1">
        <v>326.3</v>
      </c>
      <c r="J514" s="1">
        <v>326.3</v>
      </c>
      <c r="K514" t="s">
        <v>6</v>
      </c>
    </row>
    <row r="515" spans="1:12">
      <c r="A515" t="s">
        <v>530</v>
      </c>
      <c r="B515">
        <v>497697</v>
      </c>
      <c r="C515" s="2" t="str">
        <f>"13300.0003"</f>
        <v>13300.0003</v>
      </c>
      <c r="D515" t="s">
        <v>538</v>
      </c>
      <c r="E515" t="s">
        <v>4</v>
      </c>
      <c r="F515">
        <v>29</v>
      </c>
      <c r="H515" t="s">
        <v>5</v>
      </c>
      <c r="I515" s="1">
        <v>364</v>
      </c>
      <c r="J515" s="1">
        <v>327.60000000000002</v>
      </c>
      <c r="K515" t="s">
        <v>6</v>
      </c>
    </row>
    <row r="516" spans="1:12">
      <c r="A516" t="s">
        <v>530</v>
      </c>
      <c r="B516">
        <v>498609</v>
      </c>
      <c r="C516" s="2" t="str">
        <f>"20583.0003"</f>
        <v>20583.0003</v>
      </c>
      <c r="D516" t="s">
        <v>539</v>
      </c>
      <c r="E516" t="s">
        <v>4</v>
      </c>
      <c r="F516">
        <v>0.5</v>
      </c>
      <c r="H516" t="s">
        <v>5</v>
      </c>
      <c r="I516" s="1">
        <v>11.31</v>
      </c>
      <c r="J516" s="1">
        <v>11.31</v>
      </c>
      <c r="K516" t="s">
        <v>6</v>
      </c>
    </row>
    <row r="517" spans="1:12">
      <c r="A517" t="s">
        <v>530</v>
      </c>
      <c r="B517">
        <v>497075</v>
      </c>
      <c r="C517" s="2" t="str">
        <f>"32125.0000"</f>
        <v>32125.0000</v>
      </c>
      <c r="D517" t="s">
        <v>540</v>
      </c>
      <c r="E517" t="s">
        <v>4</v>
      </c>
      <c r="F517">
        <v>31.8</v>
      </c>
      <c r="G517">
        <v>5.3</v>
      </c>
      <c r="H517" t="s">
        <v>20</v>
      </c>
      <c r="I517" s="1">
        <v>40.24</v>
      </c>
      <c r="J517" s="1">
        <v>40.24</v>
      </c>
      <c r="K517" t="s">
        <v>21</v>
      </c>
      <c r="L517" s="1">
        <v>44.26</v>
      </c>
    </row>
    <row r="518" spans="1:12">
      <c r="A518" t="s">
        <v>530</v>
      </c>
      <c r="B518">
        <v>497078</v>
      </c>
      <c r="C518" s="2" t="str">
        <f>"32130.0000"</f>
        <v>32130.0000</v>
      </c>
      <c r="D518" t="s">
        <v>541</v>
      </c>
      <c r="E518" t="s">
        <v>4</v>
      </c>
      <c r="F518">
        <v>34.799999999999997</v>
      </c>
      <c r="G518">
        <v>5.8</v>
      </c>
      <c r="H518" t="s">
        <v>20</v>
      </c>
      <c r="I518" s="1">
        <v>42.84</v>
      </c>
      <c r="J518" s="1">
        <v>42.84</v>
      </c>
      <c r="K518" t="s">
        <v>21</v>
      </c>
      <c r="L518" s="1">
        <v>47.12</v>
      </c>
    </row>
    <row r="519" spans="1:12">
      <c r="A519" t="s">
        <v>530</v>
      </c>
      <c r="B519">
        <v>516978</v>
      </c>
      <c r="C519" s="2" t="str">
        <f>"33000.0001"</f>
        <v>33000.0001</v>
      </c>
      <c r="D519" t="s">
        <v>542</v>
      </c>
      <c r="E519" t="s">
        <v>4</v>
      </c>
      <c r="F519">
        <v>12</v>
      </c>
      <c r="H519" t="s">
        <v>5</v>
      </c>
      <c r="I519" s="1">
        <v>87.1</v>
      </c>
      <c r="J519" s="1">
        <v>87.1</v>
      </c>
      <c r="K519" t="s">
        <v>6</v>
      </c>
    </row>
    <row r="520" spans="1:12">
      <c r="A520" t="s">
        <v>530</v>
      </c>
      <c r="B520">
        <v>497070</v>
      </c>
      <c r="C520" s="2" t="str">
        <f>"33200.0000"</f>
        <v>33200.0000</v>
      </c>
      <c r="D520" t="s">
        <v>543</v>
      </c>
      <c r="E520" t="s">
        <v>4</v>
      </c>
      <c r="F520">
        <v>23</v>
      </c>
      <c r="H520" t="s">
        <v>5</v>
      </c>
      <c r="I520" s="1">
        <v>299</v>
      </c>
      <c r="J520" s="1">
        <v>269.10000000000002</v>
      </c>
      <c r="K520" t="s">
        <v>6</v>
      </c>
    </row>
    <row r="521" spans="1:12">
      <c r="A521" t="s">
        <v>530</v>
      </c>
      <c r="B521">
        <v>497696</v>
      </c>
      <c r="C521" s="2" t="str">
        <f>"34100.0000"</f>
        <v>34100.0000</v>
      </c>
      <c r="D521" t="s">
        <v>544</v>
      </c>
      <c r="E521" t="s">
        <v>4</v>
      </c>
      <c r="F521">
        <v>12.2</v>
      </c>
      <c r="H521" t="s">
        <v>5</v>
      </c>
      <c r="I521" s="1">
        <v>78</v>
      </c>
      <c r="J521" s="1">
        <v>70.2</v>
      </c>
      <c r="K521" t="s">
        <v>6</v>
      </c>
    </row>
    <row r="522" spans="1:12">
      <c r="A522" t="s">
        <v>530</v>
      </c>
      <c r="B522">
        <v>497126</v>
      </c>
      <c r="C522" s="2" t="str">
        <f>"39000.0002"</f>
        <v>39000.0002</v>
      </c>
      <c r="D522" t="s">
        <v>545</v>
      </c>
      <c r="E522" t="s">
        <v>4</v>
      </c>
      <c r="F522">
        <v>3.3</v>
      </c>
      <c r="H522" t="s">
        <v>5</v>
      </c>
      <c r="I522" s="1">
        <v>161.97999999999999</v>
      </c>
      <c r="J522" s="1">
        <v>161.97999999999999</v>
      </c>
      <c r="K522" t="s">
        <v>6</v>
      </c>
    </row>
    <row r="523" spans="1:12">
      <c r="A523" t="s">
        <v>530</v>
      </c>
      <c r="B523">
        <v>497144</v>
      </c>
      <c r="C523" s="2" t="str">
        <f>"39637.0000"</f>
        <v>39637.0000</v>
      </c>
      <c r="D523" t="s">
        <v>546</v>
      </c>
      <c r="E523" t="s">
        <v>4</v>
      </c>
      <c r="F523">
        <v>14.88</v>
      </c>
      <c r="G523">
        <v>1.24</v>
      </c>
      <c r="H523" t="s">
        <v>106</v>
      </c>
      <c r="I523" s="1">
        <v>22.53</v>
      </c>
      <c r="J523" s="1">
        <v>22.53</v>
      </c>
      <c r="K523" t="s">
        <v>547</v>
      </c>
      <c r="L523" s="1">
        <v>24.78</v>
      </c>
    </row>
    <row r="524" spans="1:12">
      <c r="A524" t="s">
        <v>530</v>
      </c>
      <c r="B524">
        <v>548732</v>
      </c>
      <c r="C524" s="2" t="str">
        <f>"42400.0024"</f>
        <v>42400.0024</v>
      </c>
      <c r="D524" t="s">
        <v>548</v>
      </c>
      <c r="E524" t="s">
        <v>4</v>
      </c>
      <c r="F524">
        <v>26</v>
      </c>
      <c r="H524" t="s">
        <v>5</v>
      </c>
      <c r="I524" s="1">
        <v>118.56</v>
      </c>
      <c r="J524" s="1">
        <v>118.56</v>
      </c>
      <c r="K524" t="s">
        <v>6</v>
      </c>
    </row>
    <row r="525" spans="1:12">
      <c r="A525" t="s">
        <v>530</v>
      </c>
      <c r="B525">
        <v>548733</v>
      </c>
      <c r="C525" s="2" t="str">
        <f>"42400.0103"</f>
        <v>42400.0103</v>
      </c>
      <c r="D525" t="s">
        <v>549</v>
      </c>
      <c r="E525" t="s">
        <v>4</v>
      </c>
      <c r="F525">
        <v>4.5</v>
      </c>
      <c r="H525" t="s">
        <v>5</v>
      </c>
      <c r="I525" s="1">
        <v>15.21</v>
      </c>
      <c r="J525" s="1">
        <v>15.21</v>
      </c>
      <c r="K525" t="s">
        <v>6</v>
      </c>
    </row>
    <row r="526" spans="1:12">
      <c r="A526" t="s">
        <v>530</v>
      </c>
      <c r="B526">
        <v>548730</v>
      </c>
      <c r="C526" s="2" t="str">
        <f>"42401.0024"</f>
        <v>42401.0024</v>
      </c>
      <c r="D526" t="s">
        <v>550</v>
      </c>
      <c r="E526" t="s">
        <v>4</v>
      </c>
      <c r="F526">
        <v>26</v>
      </c>
      <c r="H526" t="s">
        <v>5</v>
      </c>
      <c r="I526" s="1">
        <v>118.56</v>
      </c>
      <c r="J526" s="1">
        <v>118.56</v>
      </c>
      <c r="K526" t="s">
        <v>6</v>
      </c>
    </row>
    <row r="527" spans="1:12">
      <c r="A527" t="s">
        <v>530</v>
      </c>
      <c r="B527">
        <v>548731</v>
      </c>
      <c r="C527" s="2" t="str">
        <f>"42401.0103"</f>
        <v>42401.0103</v>
      </c>
      <c r="D527" t="s">
        <v>551</v>
      </c>
      <c r="E527" t="s">
        <v>4</v>
      </c>
      <c r="F527">
        <v>4.5</v>
      </c>
      <c r="H527" t="s">
        <v>5</v>
      </c>
      <c r="I527" s="1">
        <v>15.21</v>
      </c>
      <c r="J527" s="1">
        <v>15.21</v>
      </c>
      <c r="K527" t="s">
        <v>6</v>
      </c>
    </row>
    <row r="528" spans="1:12">
      <c r="A528" t="s">
        <v>552</v>
      </c>
      <c r="B528">
        <v>476178</v>
      </c>
      <c r="C528" s="2" t="str">
        <f>"1437M-B35"</f>
        <v>1437M-B35</v>
      </c>
      <c r="D528" t="s">
        <v>553</v>
      </c>
      <c r="E528" t="s">
        <v>4</v>
      </c>
      <c r="F528">
        <v>12</v>
      </c>
      <c r="H528" t="s">
        <v>5</v>
      </c>
      <c r="I528" s="1">
        <v>36.56</v>
      </c>
      <c r="J528" s="1">
        <v>32.5</v>
      </c>
      <c r="K528" t="s">
        <v>6</v>
      </c>
    </row>
    <row r="529" spans="1:11">
      <c r="A529" t="s">
        <v>552</v>
      </c>
      <c r="B529">
        <v>480101</v>
      </c>
      <c r="C529" s="2" t="str">
        <f>"2200-35"</f>
        <v>2200-35</v>
      </c>
      <c r="D529" t="s">
        <v>554</v>
      </c>
      <c r="E529" t="s">
        <v>4</v>
      </c>
      <c r="F529">
        <v>12.5</v>
      </c>
      <c r="H529" t="s">
        <v>5</v>
      </c>
      <c r="I529" s="1">
        <v>129</v>
      </c>
      <c r="J529" s="1">
        <v>117</v>
      </c>
      <c r="K529" t="s">
        <v>6</v>
      </c>
    </row>
    <row r="530" spans="1:11">
      <c r="A530" t="s">
        <v>552</v>
      </c>
      <c r="B530">
        <v>476174</v>
      </c>
      <c r="C530" s="2" t="str">
        <f>"2520-C1"</f>
        <v>2520-C1</v>
      </c>
      <c r="D530" t="s">
        <v>555</v>
      </c>
      <c r="E530" t="s">
        <v>4</v>
      </c>
      <c r="F530">
        <v>38</v>
      </c>
      <c r="H530" t="s">
        <v>5</v>
      </c>
      <c r="I530" s="1">
        <v>79.55</v>
      </c>
      <c r="J530" s="1">
        <v>72.150000000000006</v>
      </c>
      <c r="K530" t="s">
        <v>6</v>
      </c>
    </row>
    <row r="531" spans="1:11">
      <c r="A531" t="s">
        <v>552</v>
      </c>
      <c r="B531">
        <v>476175</v>
      </c>
      <c r="C531" s="2" t="str">
        <f>"2520-C3"</f>
        <v>2520-C3</v>
      </c>
      <c r="D531" t="s">
        <v>556</v>
      </c>
      <c r="E531" t="s">
        <v>4</v>
      </c>
      <c r="F531">
        <v>19</v>
      </c>
      <c r="H531" t="s">
        <v>5</v>
      </c>
      <c r="I531" s="1">
        <v>40.130000000000003</v>
      </c>
      <c r="J531" s="1">
        <v>36.4</v>
      </c>
      <c r="K531" t="s">
        <v>6</v>
      </c>
    </row>
    <row r="532" spans="1:11">
      <c r="A532" t="s">
        <v>552</v>
      </c>
      <c r="B532">
        <v>476176</v>
      </c>
      <c r="C532" s="2" t="str">
        <f>"2520-R1S"</f>
        <v>2520-R1S</v>
      </c>
      <c r="D532" t="s">
        <v>557</v>
      </c>
      <c r="E532" t="s">
        <v>4</v>
      </c>
      <c r="F532">
        <v>38</v>
      </c>
      <c r="H532" t="s">
        <v>5</v>
      </c>
      <c r="I532" s="1">
        <v>100.33</v>
      </c>
      <c r="J532" s="1">
        <v>91</v>
      </c>
      <c r="K532" t="s">
        <v>6</v>
      </c>
    </row>
    <row r="533" spans="1:11">
      <c r="A533" t="s">
        <v>552</v>
      </c>
      <c r="B533">
        <v>476177</v>
      </c>
      <c r="C533" s="2" t="str">
        <f>"2520-R3S"</f>
        <v>2520-R3S</v>
      </c>
      <c r="D533" t="s">
        <v>558</v>
      </c>
      <c r="E533" t="s">
        <v>4</v>
      </c>
      <c r="F533">
        <v>19</v>
      </c>
      <c r="H533" t="s">
        <v>5</v>
      </c>
      <c r="I533" s="1">
        <v>71.66</v>
      </c>
      <c r="J533" s="1">
        <v>65</v>
      </c>
      <c r="K533" t="s">
        <v>6</v>
      </c>
    </row>
    <row r="534" spans="1:11">
      <c r="A534" t="s">
        <v>552</v>
      </c>
      <c r="B534">
        <v>476169</v>
      </c>
      <c r="C534" s="2" t="str">
        <f>"2530-C5"</f>
        <v>2530-C5</v>
      </c>
      <c r="D534" t="s">
        <v>559</v>
      </c>
      <c r="E534" t="s">
        <v>4</v>
      </c>
      <c r="F534">
        <v>20</v>
      </c>
      <c r="H534" t="s">
        <v>5</v>
      </c>
      <c r="I534" s="1">
        <v>37.99</v>
      </c>
      <c r="J534" s="1">
        <v>34.450000000000003</v>
      </c>
      <c r="K534" t="s">
        <v>6</v>
      </c>
    </row>
    <row r="535" spans="1:11">
      <c r="A535" t="s">
        <v>552</v>
      </c>
      <c r="B535">
        <v>476170</v>
      </c>
      <c r="C535" s="2" t="str">
        <f>"2530-R5"</f>
        <v>2530-R5</v>
      </c>
      <c r="D535" t="s">
        <v>560</v>
      </c>
      <c r="E535" t="s">
        <v>4</v>
      </c>
      <c r="F535">
        <v>20</v>
      </c>
      <c r="H535" t="s">
        <v>5</v>
      </c>
      <c r="I535" s="1">
        <v>51.6</v>
      </c>
      <c r="J535" s="1">
        <v>46.8</v>
      </c>
      <c r="K535" t="s">
        <v>6</v>
      </c>
    </row>
    <row r="536" spans="1:11">
      <c r="A536" t="s">
        <v>552</v>
      </c>
      <c r="B536">
        <v>476179</v>
      </c>
      <c r="C536" s="2" t="str">
        <f>"2535-B34"</f>
        <v>2535-B34</v>
      </c>
      <c r="D536" t="s">
        <v>561</v>
      </c>
      <c r="E536" t="s">
        <v>4</v>
      </c>
      <c r="F536">
        <v>20</v>
      </c>
      <c r="H536" t="s">
        <v>5</v>
      </c>
      <c r="I536" s="1">
        <v>64.489999999999995</v>
      </c>
      <c r="J536" s="1">
        <v>58.5</v>
      </c>
      <c r="K536" t="s">
        <v>6</v>
      </c>
    </row>
    <row r="537" spans="1:11">
      <c r="A537" t="s">
        <v>552</v>
      </c>
      <c r="B537">
        <v>507513</v>
      </c>
      <c r="C537" s="2" t="str">
        <f>"3520-R1"</f>
        <v>3520-R1</v>
      </c>
      <c r="D537" t="s">
        <v>562</v>
      </c>
      <c r="E537" t="s">
        <v>4</v>
      </c>
      <c r="F537">
        <v>40</v>
      </c>
      <c r="H537" t="s">
        <v>5</v>
      </c>
      <c r="I537" s="1">
        <v>96.03</v>
      </c>
      <c r="J537" s="1">
        <v>87.1</v>
      </c>
      <c r="K537" t="s">
        <v>6</v>
      </c>
    </row>
    <row r="538" spans="1:11">
      <c r="A538" t="s">
        <v>552</v>
      </c>
      <c r="B538">
        <v>476171</v>
      </c>
      <c r="C538" s="2" t="str">
        <f>"3525-C1"</f>
        <v>3525-C1</v>
      </c>
      <c r="D538" t="s">
        <v>563</v>
      </c>
      <c r="E538" t="s">
        <v>4</v>
      </c>
      <c r="F538">
        <v>34</v>
      </c>
      <c r="H538" t="s">
        <v>5</v>
      </c>
      <c r="I538" s="1">
        <v>53.87</v>
      </c>
      <c r="J538" s="1">
        <v>47.89</v>
      </c>
      <c r="K538" t="s">
        <v>6</v>
      </c>
    </row>
    <row r="539" spans="1:11">
      <c r="A539" t="s">
        <v>552</v>
      </c>
      <c r="B539">
        <v>476173</v>
      </c>
      <c r="C539" s="2" t="str">
        <f>"3525-R1"</f>
        <v>3525-R1</v>
      </c>
      <c r="D539" t="s">
        <v>564</v>
      </c>
      <c r="E539" t="s">
        <v>4</v>
      </c>
      <c r="F539">
        <v>34</v>
      </c>
      <c r="H539" t="s">
        <v>5</v>
      </c>
      <c r="I539" s="1">
        <v>90.3</v>
      </c>
      <c r="J539" s="1">
        <v>81.900000000000006</v>
      </c>
      <c r="K539" t="s">
        <v>6</v>
      </c>
    </row>
    <row r="540" spans="1:11">
      <c r="A540" t="s">
        <v>552</v>
      </c>
      <c r="B540">
        <v>476180</v>
      </c>
      <c r="C540" s="2" t="str">
        <f>"5000-R35"</f>
        <v>5000-R35</v>
      </c>
      <c r="D540" t="s">
        <v>565</v>
      </c>
      <c r="E540" t="s">
        <v>4</v>
      </c>
      <c r="F540">
        <v>12</v>
      </c>
      <c r="H540" t="s">
        <v>5</v>
      </c>
      <c r="I540" s="1">
        <v>136.16</v>
      </c>
      <c r="J540" s="1">
        <v>123.5</v>
      </c>
      <c r="K540" t="s">
        <v>6</v>
      </c>
    </row>
    <row r="541" spans="1:11">
      <c r="A541" t="s">
        <v>552</v>
      </c>
      <c r="B541">
        <v>476181</v>
      </c>
      <c r="C541" s="2" t="str">
        <f>"6477-KD"</f>
        <v>6477-KD</v>
      </c>
      <c r="D541" t="s">
        <v>566</v>
      </c>
      <c r="E541" t="s">
        <v>4</v>
      </c>
      <c r="F541">
        <v>62</v>
      </c>
      <c r="H541" t="s">
        <v>5</v>
      </c>
      <c r="I541" s="1">
        <v>195.68</v>
      </c>
      <c r="J541" s="1">
        <v>173.94</v>
      </c>
      <c r="K541" t="s">
        <v>6</v>
      </c>
    </row>
    <row r="542" spans="1:11">
      <c r="A542" t="s">
        <v>567</v>
      </c>
      <c r="B542">
        <v>379663</v>
      </c>
      <c r="C542" s="2" t="str">
        <f>"100BC1-131"</f>
        <v>100BC1-131</v>
      </c>
      <c r="D542" t="s">
        <v>568</v>
      </c>
      <c r="E542" t="s">
        <v>4</v>
      </c>
      <c r="F542">
        <v>4</v>
      </c>
      <c r="H542" t="s">
        <v>5</v>
      </c>
      <c r="I542" s="1">
        <v>27.79</v>
      </c>
      <c r="J542" s="1">
        <v>26.33</v>
      </c>
      <c r="K542" t="s">
        <v>6</v>
      </c>
    </row>
    <row r="543" spans="1:11">
      <c r="A543" t="s">
        <v>567</v>
      </c>
      <c r="B543">
        <v>380055</v>
      </c>
      <c r="C543" s="2" t="str">
        <f>"100BC1-157"</f>
        <v>100BC1-157</v>
      </c>
      <c r="D543" t="s">
        <v>569</v>
      </c>
      <c r="E543" t="s">
        <v>4</v>
      </c>
      <c r="F543">
        <v>4</v>
      </c>
      <c r="H543" t="s">
        <v>5</v>
      </c>
      <c r="I543" s="1">
        <v>27.79</v>
      </c>
      <c r="J543" s="1">
        <v>26.33</v>
      </c>
      <c r="K543" t="s">
        <v>6</v>
      </c>
    </row>
    <row r="544" spans="1:11">
      <c r="A544" t="s">
        <v>567</v>
      </c>
      <c r="B544">
        <v>380616</v>
      </c>
      <c r="C544" s="2" t="str">
        <f>"100BC1-158"</f>
        <v>100BC1-158</v>
      </c>
      <c r="D544" t="s">
        <v>570</v>
      </c>
      <c r="E544" t="s">
        <v>4</v>
      </c>
      <c r="F544">
        <v>4</v>
      </c>
      <c r="H544" t="s">
        <v>5</v>
      </c>
      <c r="I544" s="1">
        <v>27.79</v>
      </c>
      <c r="J544" s="1">
        <v>26.33</v>
      </c>
      <c r="K544" t="s">
        <v>6</v>
      </c>
    </row>
    <row r="545" spans="1:12">
      <c r="A545" t="s">
        <v>567</v>
      </c>
      <c r="B545">
        <v>379665</v>
      </c>
      <c r="C545" s="2" t="str">
        <f>"100MCCW-135"</f>
        <v>100MCCW-135</v>
      </c>
      <c r="D545" t="s">
        <v>571</v>
      </c>
      <c r="E545" t="s">
        <v>4</v>
      </c>
      <c r="F545">
        <v>6.72</v>
      </c>
      <c r="G545">
        <v>0.56000000000000005</v>
      </c>
      <c r="H545" t="s">
        <v>106</v>
      </c>
      <c r="I545" s="1">
        <v>8.4600000000000009</v>
      </c>
      <c r="J545" s="1">
        <v>8.01</v>
      </c>
      <c r="K545" t="s">
        <v>457</v>
      </c>
      <c r="L545" s="1">
        <v>8.81</v>
      </c>
    </row>
    <row r="546" spans="1:12">
      <c r="A546" t="s">
        <v>567</v>
      </c>
      <c r="B546">
        <v>369818</v>
      </c>
      <c r="C546" s="2" t="str">
        <f>"1014FF-163"</f>
        <v>1014FF-163</v>
      </c>
      <c r="D546" t="s">
        <v>572</v>
      </c>
      <c r="E546" t="s">
        <v>4</v>
      </c>
      <c r="F546">
        <v>13.75</v>
      </c>
      <c r="H546" t="s">
        <v>5</v>
      </c>
      <c r="I546" s="1">
        <v>63.73</v>
      </c>
      <c r="J546" s="1">
        <v>54.34</v>
      </c>
      <c r="K546" t="s">
        <v>6</v>
      </c>
    </row>
    <row r="547" spans="1:12">
      <c r="A547" t="s">
        <v>567</v>
      </c>
      <c r="B547">
        <v>368286</v>
      </c>
      <c r="C547" s="2" t="str">
        <f>"1014FF-167"</f>
        <v>1014FF-167</v>
      </c>
      <c r="D547" t="s">
        <v>573</v>
      </c>
      <c r="E547" t="s">
        <v>4</v>
      </c>
      <c r="F547">
        <v>13.75</v>
      </c>
      <c r="H547" t="s">
        <v>5</v>
      </c>
      <c r="I547" s="1">
        <v>63.73</v>
      </c>
      <c r="J547" s="1">
        <v>54.34</v>
      </c>
      <c r="K547" t="s">
        <v>6</v>
      </c>
    </row>
    <row r="548" spans="1:12">
      <c r="A548" t="s">
        <v>567</v>
      </c>
      <c r="B548">
        <v>379746</v>
      </c>
      <c r="C548" s="2" t="str">
        <f>"10CWC-135"</f>
        <v>10CWC-135</v>
      </c>
      <c r="D548" t="s">
        <v>574</v>
      </c>
      <c r="E548" t="s">
        <v>4</v>
      </c>
      <c r="F548">
        <v>8.76</v>
      </c>
      <c r="G548">
        <v>1.46</v>
      </c>
      <c r="H548" t="s">
        <v>20</v>
      </c>
      <c r="I548" s="1">
        <v>11.12</v>
      </c>
      <c r="J548" s="1">
        <v>10.53</v>
      </c>
      <c r="K548" t="s">
        <v>457</v>
      </c>
      <c r="L548" s="1">
        <v>11.58</v>
      </c>
    </row>
    <row r="549" spans="1:12">
      <c r="A549" t="s">
        <v>567</v>
      </c>
      <c r="B549">
        <v>379763</v>
      </c>
      <c r="C549" s="2" t="str">
        <f>"10CWCH-135"</f>
        <v>10CWCH-135</v>
      </c>
      <c r="D549" t="s">
        <v>575</v>
      </c>
      <c r="E549" t="s">
        <v>4</v>
      </c>
      <c r="F549">
        <v>9</v>
      </c>
      <c r="G549">
        <v>1.5</v>
      </c>
      <c r="H549" t="s">
        <v>20</v>
      </c>
      <c r="I549" s="1">
        <v>11.12</v>
      </c>
      <c r="J549" s="1">
        <v>10.53</v>
      </c>
      <c r="K549" t="s">
        <v>457</v>
      </c>
      <c r="L549" s="1">
        <v>11.58</v>
      </c>
    </row>
    <row r="550" spans="1:12">
      <c r="A550" t="s">
        <v>567</v>
      </c>
      <c r="B550">
        <v>379770</v>
      </c>
      <c r="C550" s="2" t="str">
        <f>"10CWCHN-135"</f>
        <v>10CWCHN-135</v>
      </c>
      <c r="D550" t="s">
        <v>576</v>
      </c>
      <c r="E550" t="s">
        <v>4</v>
      </c>
      <c r="F550">
        <v>9</v>
      </c>
      <c r="G550">
        <v>1.5</v>
      </c>
      <c r="H550" t="s">
        <v>20</v>
      </c>
      <c r="I550" s="1">
        <v>11.12</v>
      </c>
      <c r="J550" s="1">
        <v>10.53</v>
      </c>
      <c r="K550" t="s">
        <v>457</v>
      </c>
      <c r="L550" s="1">
        <v>11.58</v>
      </c>
    </row>
    <row r="551" spans="1:12">
      <c r="A551" t="s">
        <v>567</v>
      </c>
      <c r="B551">
        <v>431260</v>
      </c>
      <c r="C551" s="2" t="str">
        <f>"10CWD-135"</f>
        <v>10CWD-135</v>
      </c>
      <c r="D551" t="s">
        <v>577</v>
      </c>
      <c r="E551" t="s">
        <v>4</v>
      </c>
      <c r="F551">
        <v>7.26</v>
      </c>
      <c r="G551">
        <v>1.21</v>
      </c>
      <c r="H551" t="s">
        <v>20</v>
      </c>
      <c r="I551" s="1">
        <v>9.57</v>
      </c>
      <c r="J551" s="1">
        <v>9.07</v>
      </c>
      <c r="K551" t="s">
        <v>457</v>
      </c>
      <c r="L551" s="1">
        <v>9.98</v>
      </c>
    </row>
    <row r="552" spans="1:12">
      <c r="A552" t="s">
        <v>567</v>
      </c>
      <c r="B552">
        <v>389255</v>
      </c>
      <c r="C552" s="2" t="str">
        <f>"10HC258151"</f>
        <v>10HC258151</v>
      </c>
      <c r="D552" t="s">
        <v>578</v>
      </c>
      <c r="E552" t="s">
        <v>4</v>
      </c>
      <c r="F552">
        <v>16.260000000000002</v>
      </c>
      <c r="G552">
        <v>2.71</v>
      </c>
      <c r="H552" t="s">
        <v>20</v>
      </c>
      <c r="I552" s="1">
        <v>16.170000000000002</v>
      </c>
      <c r="J552" s="1">
        <v>15.33</v>
      </c>
      <c r="K552" t="s">
        <v>457</v>
      </c>
      <c r="L552" s="1">
        <v>16.86</v>
      </c>
    </row>
    <row r="553" spans="1:12">
      <c r="A553" t="s">
        <v>567</v>
      </c>
      <c r="B553">
        <v>379777</v>
      </c>
      <c r="C553" s="2" t="str">
        <f>"10HPCH-150"</f>
        <v>10HPCH-150</v>
      </c>
      <c r="D553" t="s">
        <v>579</v>
      </c>
      <c r="E553" t="s">
        <v>4</v>
      </c>
      <c r="F553">
        <v>9.48</v>
      </c>
      <c r="G553">
        <v>1.58</v>
      </c>
      <c r="H553" t="s">
        <v>20</v>
      </c>
      <c r="I553" s="1">
        <v>28.09</v>
      </c>
      <c r="J553" s="1">
        <v>26.62</v>
      </c>
      <c r="K553" t="s">
        <v>457</v>
      </c>
      <c r="L553" s="1">
        <v>29.29</v>
      </c>
    </row>
    <row r="554" spans="1:12">
      <c r="A554" t="s">
        <v>567</v>
      </c>
      <c r="B554">
        <v>423334</v>
      </c>
      <c r="C554" s="2" t="str">
        <f>"10PPCH-190"</f>
        <v>10PPCH-190</v>
      </c>
      <c r="D554" t="s">
        <v>580</v>
      </c>
      <c r="E554" t="s">
        <v>4</v>
      </c>
      <c r="F554">
        <v>6</v>
      </c>
      <c r="G554">
        <v>1</v>
      </c>
      <c r="H554" t="s">
        <v>20</v>
      </c>
      <c r="I554" s="1">
        <v>7.38</v>
      </c>
      <c r="J554" s="1">
        <v>6.99</v>
      </c>
      <c r="K554" t="s">
        <v>457</v>
      </c>
      <c r="L554" s="1">
        <v>7.69</v>
      </c>
    </row>
    <row r="555" spans="1:12">
      <c r="A555" t="s">
        <v>567</v>
      </c>
      <c r="B555">
        <v>431290</v>
      </c>
      <c r="C555" s="2" t="str">
        <f>"10PPSC-190"</f>
        <v>10PPSC-190</v>
      </c>
      <c r="D555" t="s">
        <v>581</v>
      </c>
      <c r="E555" t="s">
        <v>4</v>
      </c>
      <c r="F555">
        <v>7.02</v>
      </c>
      <c r="G555">
        <v>1.17</v>
      </c>
      <c r="H555" t="s">
        <v>20</v>
      </c>
      <c r="I555" s="1">
        <v>7.38</v>
      </c>
      <c r="J555" s="1">
        <v>6.99</v>
      </c>
      <c r="K555" t="s">
        <v>457</v>
      </c>
      <c r="L555" s="1">
        <v>7.69</v>
      </c>
    </row>
    <row r="556" spans="1:12">
      <c r="A556" t="s">
        <v>567</v>
      </c>
      <c r="B556">
        <v>431261</v>
      </c>
      <c r="C556" s="2" t="str">
        <f>"10SC-148"</f>
        <v>10SC-148</v>
      </c>
      <c r="D556" t="s">
        <v>582</v>
      </c>
      <c r="E556" t="s">
        <v>4</v>
      </c>
      <c r="F556">
        <v>7.02</v>
      </c>
      <c r="G556">
        <v>1.17</v>
      </c>
      <c r="H556" t="s">
        <v>20</v>
      </c>
      <c r="I556" s="1">
        <v>6.85</v>
      </c>
      <c r="J556" s="1">
        <v>6.5</v>
      </c>
      <c r="K556" t="s">
        <v>457</v>
      </c>
      <c r="L556" s="1">
        <v>7.15</v>
      </c>
    </row>
    <row r="557" spans="1:12">
      <c r="A557" t="s">
        <v>567</v>
      </c>
      <c r="B557">
        <v>368130</v>
      </c>
      <c r="C557" s="2" t="str">
        <f>"1200P-152"</f>
        <v>1200P-152</v>
      </c>
      <c r="D557" t="s">
        <v>583</v>
      </c>
      <c r="E557" t="s">
        <v>4</v>
      </c>
      <c r="F557">
        <v>11.25</v>
      </c>
      <c r="H557" t="s">
        <v>5</v>
      </c>
      <c r="I557" s="1">
        <v>67.13</v>
      </c>
      <c r="J557" s="1">
        <v>63.6</v>
      </c>
      <c r="K557" t="s">
        <v>6</v>
      </c>
    </row>
    <row r="558" spans="1:12">
      <c r="A558" t="s">
        <v>567</v>
      </c>
      <c r="B558">
        <v>368124</v>
      </c>
      <c r="C558" s="2" t="str">
        <f>"1200P-153"</f>
        <v>1200P-153</v>
      </c>
      <c r="D558" t="s">
        <v>584</v>
      </c>
      <c r="E558" t="s">
        <v>4</v>
      </c>
      <c r="F558">
        <v>11.25</v>
      </c>
      <c r="H558" t="s">
        <v>5</v>
      </c>
      <c r="I558" s="1">
        <v>67.13</v>
      </c>
      <c r="J558" s="1">
        <v>63.6</v>
      </c>
      <c r="K558" t="s">
        <v>6</v>
      </c>
    </row>
    <row r="559" spans="1:12">
      <c r="A559" t="s">
        <v>567</v>
      </c>
      <c r="B559">
        <v>368192</v>
      </c>
      <c r="C559" s="2" t="str">
        <f>"1200P2-152"</f>
        <v>1200P2-152</v>
      </c>
      <c r="D559" t="s">
        <v>585</v>
      </c>
      <c r="E559" t="s">
        <v>4</v>
      </c>
      <c r="F559">
        <v>4</v>
      </c>
      <c r="H559" t="s">
        <v>5</v>
      </c>
      <c r="I559" s="1">
        <v>23.71</v>
      </c>
      <c r="J559" s="1">
        <v>22.46</v>
      </c>
      <c r="K559" t="s">
        <v>6</v>
      </c>
    </row>
    <row r="560" spans="1:12">
      <c r="A560" t="s">
        <v>567</v>
      </c>
      <c r="B560">
        <v>369889</v>
      </c>
      <c r="C560" s="2" t="str">
        <f>"1200P2-153"</f>
        <v>1200P2-153</v>
      </c>
      <c r="D560" t="s">
        <v>586</v>
      </c>
      <c r="E560" t="s">
        <v>4</v>
      </c>
      <c r="F560">
        <v>4</v>
      </c>
      <c r="H560" t="s">
        <v>5</v>
      </c>
      <c r="I560" s="1">
        <v>23.71</v>
      </c>
      <c r="J560" s="1">
        <v>22.46</v>
      </c>
      <c r="K560" t="s">
        <v>6</v>
      </c>
    </row>
    <row r="561" spans="1:12">
      <c r="A561" t="s">
        <v>567</v>
      </c>
      <c r="B561">
        <v>386395</v>
      </c>
      <c r="C561" s="2" t="str">
        <f>"1200P2-156"</f>
        <v>1200P2-156</v>
      </c>
      <c r="D561" t="s">
        <v>587</v>
      </c>
      <c r="E561" t="s">
        <v>4</v>
      </c>
      <c r="F561">
        <v>4</v>
      </c>
      <c r="H561" t="s">
        <v>5</v>
      </c>
      <c r="I561" s="1">
        <v>23.71</v>
      </c>
      <c r="J561" s="1">
        <v>22.46</v>
      </c>
      <c r="K561" t="s">
        <v>6</v>
      </c>
    </row>
    <row r="562" spans="1:12">
      <c r="A562" t="s">
        <v>567</v>
      </c>
      <c r="B562">
        <v>370372</v>
      </c>
      <c r="C562" s="2" t="str">
        <f>"1216FF-163"</f>
        <v>1216FF-163</v>
      </c>
      <c r="D562" t="s">
        <v>588</v>
      </c>
      <c r="E562" t="s">
        <v>4</v>
      </c>
      <c r="F562">
        <v>19.5</v>
      </c>
      <c r="H562" t="s">
        <v>5</v>
      </c>
      <c r="I562" s="1">
        <v>75.58</v>
      </c>
      <c r="J562" s="1">
        <v>64.44</v>
      </c>
      <c r="K562" t="s">
        <v>6</v>
      </c>
    </row>
    <row r="563" spans="1:12">
      <c r="A563" t="s">
        <v>567</v>
      </c>
      <c r="B563">
        <v>369960</v>
      </c>
      <c r="C563" s="2" t="str">
        <f>"1216FF-167"</f>
        <v>1216FF-167</v>
      </c>
      <c r="D563" t="s">
        <v>589</v>
      </c>
      <c r="E563" t="s">
        <v>4</v>
      </c>
      <c r="F563">
        <v>19.5</v>
      </c>
      <c r="H563" t="s">
        <v>5</v>
      </c>
      <c r="I563" s="1">
        <v>75.58</v>
      </c>
      <c r="J563" s="1">
        <v>64.44</v>
      </c>
      <c r="K563" t="s">
        <v>6</v>
      </c>
    </row>
    <row r="564" spans="1:12">
      <c r="A564" t="s">
        <v>567</v>
      </c>
      <c r="B564">
        <v>467365</v>
      </c>
      <c r="C564" s="2" t="str">
        <f>"1216FF-416"</f>
        <v>1216FF-416</v>
      </c>
      <c r="D564" t="s">
        <v>590</v>
      </c>
      <c r="E564" t="s">
        <v>4</v>
      </c>
      <c r="F564">
        <v>18.5</v>
      </c>
      <c r="H564" t="s">
        <v>5</v>
      </c>
      <c r="I564" s="1">
        <v>75.58</v>
      </c>
      <c r="J564" s="1">
        <v>64.44</v>
      </c>
      <c r="K564" t="s">
        <v>6</v>
      </c>
    </row>
    <row r="565" spans="1:12">
      <c r="A565" t="s">
        <v>567</v>
      </c>
      <c r="B565">
        <v>379787</v>
      </c>
      <c r="C565" s="2" t="str">
        <f>"12183CW-135"</f>
        <v>12183CW-135</v>
      </c>
      <c r="D565" t="s">
        <v>591</v>
      </c>
      <c r="E565" t="s">
        <v>4</v>
      </c>
      <c r="F565">
        <v>12.78</v>
      </c>
      <c r="G565">
        <v>2.13</v>
      </c>
      <c r="H565" t="s">
        <v>20</v>
      </c>
      <c r="I565" s="1">
        <v>14.89</v>
      </c>
      <c r="J565" s="1">
        <v>14.09</v>
      </c>
      <c r="K565" t="s">
        <v>457</v>
      </c>
      <c r="L565" s="1">
        <v>15.5</v>
      </c>
    </row>
    <row r="566" spans="1:12">
      <c r="A566" t="s">
        <v>567</v>
      </c>
      <c r="B566">
        <v>379805</v>
      </c>
      <c r="C566" s="2" t="str">
        <f>"12186CW-135"</f>
        <v>12186CW-135</v>
      </c>
      <c r="D566" t="s">
        <v>592</v>
      </c>
      <c r="E566" t="s">
        <v>4</v>
      </c>
      <c r="F566">
        <v>17.52</v>
      </c>
      <c r="G566">
        <v>2.92</v>
      </c>
      <c r="H566" t="s">
        <v>20</v>
      </c>
      <c r="I566" s="1">
        <v>18.84</v>
      </c>
      <c r="J566" s="1">
        <v>17.84</v>
      </c>
      <c r="K566" t="s">
        <v>457</v>
      </c>
      <c r="L566" s="1">
        <v>19.62</v>
      </c>
    </row>
    <row r="567" spans="1:12">
      <c r="A567" t="s">
        <v>567</v>
      </c>
      <c r="B567">
        <v>379818</v>
      </c>
      <c r="C567" s="2" t="str">
        <f>"12186P-148"</f>
        <v>12186P-148</v>
      </c>
      <c r="D567" t="s">
        <v>593</v>
      </c>
      <c r="E567" t="s">
        <v>4</v>
      </c>
      <c r="F567">
        <v>13.26</v>
      </c>
      <c r="G567">
        <v>2.21</v>
      </c>
      <c r="H567" t="s">
        <v>20</v>
      </c>
      <c r="I567" s="1">
        <v>14.33</v>
      </c>
      <c r="J567" s="1">
        <v>13.57</v>
      </c>
      <c r="K567" t="s">
        <v>457</v>
      </c>
      <c r="L567" s="1">
        <v>14.93</v>
      </c>
    </row>
    <row r="568" spans="1:12">
      <c r="A568" t="s">
        <v>567</v>
      </c>
      <c r="B568">
        <v>379821</v>
      </c>
      <c r="C568" s="2" t="str">
        <f>"12189CW-135"</f>
        <v>12189CW-135</v>
      </c>
      <c r="D568" t="s">
        <v>594</v>
      </c>
      <c r="E568" t="s">
        <v>4</v>
      </c>
      <c r="F568">
        <v>23.52</v>
      </c>
      <c r="G568">
        <v>3.92</v>
      </c>
      <c r="H568" t="s">
        <v>20</v>
      </c>
      <c r="I568" s="1">
        <v>25.31</v>
      </c>
      <c r="J568" s="1">
        <v>23.99</v>
      </c>
      <c r="K568" t="s">
        <v>457</v>
      </c>
      <c r="L568" s="1">
        <v>26.38</v>
      </c>
    </row>
    <row r="569" spans="1:12">
      <c r="A569" t="s">
        <v>567</v>
      </c>
      <c r="B569">
        <v>379825</v>
      </c>
      <c r="C569" s="2" t="str">
        <f>"12189P-148"</f>
        <v>12189P-148</v>
      </c>
      <c r="D569" t="s">
        <v>595</v>
      </c>
      <c r="E569" t="s">
        <v>4</v>
      </c>
      <c r="F569">
        <v>17.28</v>
      </c>
      <c r="G569">
        <v>2.88</v>
      </c>
      <c r="H569" t="s">
        <v>20</v>
      </c>
      <c r="I569" s="1">
        <v>18.93</v>
      </c>
      <c r="J569" s="1">
        <v>17.93</v>
      </c>
      <c r="K569" t="s">
        <v>457</v>
      </c>
      <c r="L569" s="1">
        <v>19.72</v>
      </c>
    </row>
    <row r="570" spans="1:12">
      <c r="A570" t="s">
        <v>567</v>
      </c>
      <c r="B570">
        <v>379829</v>
      </c>
      <c r="C570" s="2" t="str">
        <f>"1218CCW-135"</f>
        <v>1218CCW-135</v>
      </c>
      <c r="D570" t="s">
        <v>596</v>
      </c>
      <c r="E570" t="s">
        <v>4</v>
      </c>
      <c r="F570">
        <v>8.2799999999999994</v>
      </c>
      <c r="G570">
        <v>1.38</v>
      </c>
      <c r="H570" t="s">
        <v>20</v>
      </c>
      <c r="I570" s="1">
        <v>9.1999999999999993</v>
      </c>
      <c r="J570" s="1">
        <v>8.7100000000000009</v>
      </c>
      <c r="K570" t="s">
        <v>457</v>
      </c>
      <c r="L570" s="1">
        <v>9.58</v>
      </c>
    </row>
    <row r="571" spans="1:12">
      <c r="A571" t="s">
        <v>567</v>
      </c>
      <c r="B571">
        <v>379842</v>
      </c>
      <c r="C571" s="2" t="str">
        <f>"1218CP-148"</f>
        <v>1218CP-148</v>
      </c>
      <c r="D571" t="s">
        <v>597</v>
      </c>
      <c r="E571" t="s">
        <v>4</v>
      </c>
      <c r="F571">
        <v>6.48</v>
      </c>
      <c r="G571">
        <v>1.08</v>
      </c>
      <c r="H571" t="s">
        <v>20</v>
      </c>
      <c r="I571" s="1">
        <v>8.83</v>
      </c>
      <c r="J571" s="1">
        <v>8.3699999999999992</v>
      </c>
      <c r="K571" t="s">
        <v>457</v>
      </c>
      <c r="L571" s="1">
        <v>9.2100000000000009</v>
      </c>
    </row>
    <row r="572" spans="1:12">
      <c r="A572" t="s">
        <v>567</v>
      </c>
      <c r="B572">
        <v>431257</v>
      </c>
      <c r="C572" s="2" t="str">
        <f>"12CW-110"</f>
        <v>12CW-110</v>
      </c>
      <c r="D572" t="s">
        <v>598</v>
      </c>
      <c r="E572" t="s">
        <v>4</v>
      </c>
      <c r="F572">
        <v>10.5</v>
      </c>
      <c r="G572">
        <v>1.75</v>
      </c>
      <c r="H572" t="s">
        <v>20</v>
      </c>
      <c r="I572" s="1">
        <v>13.18</v>
      </c>
      <c r="J572" s="1">
        <v>12.49</v>
      </c>
      <c r="K572" t="s">
        <v>457</v>
      </c>
      <c r="L572" s="1">
        <v>13.74</v>
      </c>
    </row>
    <row r="573" spans="1:12">
      <c r="A573" t="s">
        <v>567</v>
      </c>
      <c r="B573">
        <v>379847</v>
      </c>
      <c r="C573" s="2" t="str">
        <f>"12CW-135"</f>
        <v>12CW-135</v>
      </c>
      <c r="D573" t="s">
        <v>599</v>
      </c>
      <c r="E573" t="s">
        <v>4</v>
      </c>
      <c r="F573">
        <v>10.5</v>
      </c>
      <c r="G573">
        <v>1.75</v>
      </c>
      <c r="H573" t="s">
        <v>20</v>
      </c>
      <c r="I573" s="1">
        <v>13.18</v>
      </c>
      <c r="J573" s="1">
        <v>12.49</v>
      </c>
      <c r="K573" t="s">
        <v>457</v>
      </c>
      <c r="L573" s="1">
        <v>13.74</v>
      </c>
    </row>
    <row r="574" spans="1:12">
      <c r="A574" t="s">
        <v>567</v>
      </c>
      <c r="B574">
        <v>379855</v>
      </c>
      <c r="C574" s="2" t="str">
        <f>"12HP-150"</f>
        <v>12HP-150</v>
      </c>
      <c r="D574" t="s">
        <v>600</v>
      </c>
      <c r="E574" t="s">
        <v>4</v>
      </c>
      <c r="F574">
        <v>12.78</v>
      </c>
      <c r="G574">
        <v>2.13</v>
      </c>
      <c r="H574" t="s">
        <v>20</v>
      </c>
      <c r="I574" s="1">
        <v>31.3</v>
      </c>
      <c r="J574" s="1">
        <v>29.67</v>
      </c>
      <c r="K574" t="s">
        <v>457</v>
      </c>
      <c r="L574" s="1">
        <v>32.630000000000003</v>
      </c>
    </row>
    <row r="575" spans="1:12">
      <c r="A575" t="s">
        <v>567</v>
      </c>
      <c r="B575">
        <v>379863</v>
      </c>
      <c r="C575" s="2" t="str">
        <f>"12SFSCW-135"</f>
        <v>12SFSCW-135</v>
      </c>
      <c r="D575" t="s">
        <v>601</v>
      </c>
      <c r="E575" t="s">
        <v>4</v>
      </c>
      <c r="F575">
        <v>11.52</v>
      </c>
      <c r="G575">
        <v>1.92</v>
      </c>
      <c r="H575" t="s">
        <v>20</v>
      </c>
      <c r="I575" s="1">
        <v>16.329999999999998</v>
      </c>
      <c r="J575" s="1">
        <v>15.47</v>
      </c>
      <c r="K575" t="s">
        <v>457</v>
      </c>
      <c r="L575" s="1">
        <v>17.02</v>
      </c>
    </row>
    <row r="576" spans="1:12">
      <c r="A576" t="s">
        <v>567</v>
      </c>
      <c r="B576">
        <v>379871</v>
      </c>
      <c r="C576" s="2" t="str">
        <f>"12SFSP-148"</f>
        <v>12SFSP-148</v>
      </c>
      <c r="D576" t="s">
        <v>602</v>
      </c>
      <c r="E576" t="s">
        <v>4</v>
      </c>
      <c r="F576">
        <v>9</v>
      </c>
      <c r="G576">
        <v>1.5</v>
      </c>
      <c r="H576" t="s">
        <v>20</v>
      </c>
      <c r="I576" s="1">
        <v>11.21</v>
      </c>
      <c r="J576" s="1">
        <v>10.62</v>
      </c>
      <c r="K576" t="s">
        <v>457</v>
      </c>
      <c r="L576" s="1">
        <v>11.68</v>
      </c>
    </row>
    <row r="577" spans="1:12">
      <c r="A577" t="s">
        <v>567</v>
      </c>
      <c r="B577">
        <v>379874</v>
      </c>
      <c r="C577" s="2" t="str">
        <f>"1400CT-110"</f>
        <v>1400CT-110</v>
      </c>
      <c r="D577" t="s">
        <v>603</v>
      </c>
      <c r="E577" t="s">
        <v>4</v>
      </c>
      <c r="F577">
        <v>13.56</v>
      </c>
      <c r="G577">
        <v>1.1299999999999999</v>
      </c>
      <c r="H577" t="s">
        <v>106</v>
      </c>
      <c r="I577" s="1">
        <v>15.41</v>
      </c>
      <c r="J577" s="1">
        <v>14.6</v>
      </c>
      <c r="K577" t="s">
        <v>457</v>
      </c>
      <c r="L577" s="1">
        <v>16.059999999999999</v>
      </c>
    </row>
    <row r="578" spans="1:12">
      <c r="A578" t="s">
        <v>567</v>
      </c>
      <c r="B578">
        <v>379884</v>
      </c>
      <c r="C578" s="2" t="str">
        <f>"1400CT-138"</f>
        <v>1400CT-138</v>
      </c>
      <c r="D578" t="s">
        <v>604</v>
      </c>
      <c r="E578" t="s">
        <v>4</v>
      </c>
      <c r="F578">
        <v>13.56</v>
      </c>
      <c r="G578">
        <v>1.1299999999999999</v>
      </c>
      <c r="H578" t="s">
        <v>106</v>
      </c>
      <c r="I578" s="1">
        <v>15.41</v>
      </c>
      <c r="J578" s="1">
        <v>14.6</v>
      </c>
      <c r="K578" t="s">
        <v>457</v>
      </c>
      <c r="L578" s="1">
        <v>16.059999999999999</v>
      </c>
    </row>
    <row r="579" spans="1:12">
      <c r="A579" t="s">
        <v>567</v>
      </c>
      <c r="B579">
        <v>369884</v>
      </c>
      <c r="C579" s="2" t="str">
        <f>"1418FF-163"</f>
        <v>1418FF-163</v>
      </c>
      <c r="D579" t="s">
        <v>605</v>
      </c>
      <c r="E579" t="s">
        <v>4</v>
      </c>
      <c r="F579">
        <v>13</v>
      </c>
      <c r="H579" t="s">
        <v>5</v>
      </c>
      <c r="I579" s="1">
        <v>48.53</v>
      </c>
      <c r="J579" s="1">
        <v>41.38</v>
      </c>
      <c r="K579" t="s">
        <v>6</v>
      </c>
    </row>
    <row r="580" spans="1:12">
      <c r="A580" t="s">
        <v>567</v>
      </c>
      <c r="B580">
        <v>367793</v>
      </c>
      <c r="C580" s="2" t="str">
        <f>"1418FF-167"</f>
        <v>1418FF-167</v>
      </c>
      <c r="D580" t="s">
        <v>606</v>
      </c>
      <c r="E580" t="s">
        <v>4</v>
      </c>
      <c r="F580">
        <v>13</v>
      </c>
      <c r="H580" t="s">
        <v>5</v>
      </c>
      <c r="I580" s="1">
        <v>48.53</v>
      </c>
      <c r="J580" s="1">
        <v>41.38</v>
      </c>
      <c r="K580" t="s">
        <v>6</v>
      </c>
    </row>
    <row r="581" spans="1:12">
      <c r="A581" t="s">
        <v>567</v>
      </c>
      <c r="B581">
        <v>431258</v>
      </c>
      <c r="C581" s="2" t="str">
        <f>"14CW-110"</f>
        <v>14CW-110</v>
      </c>
      <c r="D581" t="s">
        <v>607</v>
      </c>
      <c r="E581" t="s">
        <v>4</v>
      </c>
      <c r="F581">
        <v>13.5</v>
      </c>
      <c r="G581">
        <v>2.25</v>
      </c>
      <c r="H581" t="s">
        <v>20</v>
      </c>
      <c r="I581" s="1">
        <v>16.77</v>
      </c>
      <c r="J581" s="1">
        <v>15.89</v>
      </c>
      <c r="K581" t="s">
        <v>457</v>
      </c>
      <c r="L581" s="1">
        <v>17.47</v>
      </c>
    </row>
    <row r="582" spans="1:12">
      <c r="A582" t="s">
        <v>567</v>
      </c>
      <c r="B582">
        <v>379889</v>
      </c>
      <c r="C582" s="2" t="str">
        <f>"14CW-135"</f>
        <v>14CW-135</v>
      </c>
      <c r="D582" t="s">
        <v>608</v>
      </c>
      <c r="E582" t="s">
        <v>4</v>
      </c>
      <c r="F582">
        <v>13.5</v>
      </c>
      <c r="G582">
        <v>2.25</v>
      </c>
      <c r="H582" t="s">
        <v>20</v>
      </c>
      <c r="I582" s="1">
        <v>16.77</v>
      </c>
      <c r="J582" s="1">
        <v>15.89</v>
      </c>
      <c r="K582" t="s">
        <v>457</v>
      </c>
      <c r="L582" s="1">
        <v>17.47</v>
      </c>
    </row>
    <row r="583" spans="1:12">
      <c r="A583" t="s">
        <v>567</v>
      </c>
      <c r="B583">
        <v>379900</v>
      </c>
      <c r="C583" s="2" t="str">
        <f>"14HP-150"</f>
        <v>14HP-150</v>
      </c>
      <c r="D583" t="s">
        <v>609</v>
      </c>
      <c r="E583" t="s">
        <v>4</v>
      </c>
      <c r="F583">
        <v>15.48</v>
      </c>
      <c r="G583">
        <v>2.58</v>
      </c>
      <c r="H583" t="s">
        <v>20</v>
      </c>
      <c r="I583" s="1">
        <v>37.86</v>
      </c>
      <c r="J583" s="1">
        <v>35.85</v>
      </c>
      <c r="K583" t="s">
        <v>457</v>
      </c>
      <c r="L583" s="1">
        <v>39.44</v>
      </c>
    </row>
    <row r="584" spans="1:12">
      <c r="A584" t="s">
        <v>567</v>
      </c>
      <c r="B584">
        <v>423322</v>
      </c>
      <c r="C584" s="2" t="str">
        <f>"14PP-190"</f>
        <v>14PP-190</v>
      </c>
      <c r="D584" t="s">
        <v>610</v>
      </c>
      <c r="E584" t="s">
        <v>4</v>
      </c>
      <c r="F584">
        <v>8.6999999999999993</v>
      </c>
      <c r="G584">
        <v>1.45</v>
      </c>
      <c r="H584" t="s">
        <v>20</v>
      </c>
      <c r="I584" s="1">
        <v>9.9700000000000006</v>
      </c>
      <c r="J584" s="1">
        <v>9.4499999999999993</v>
      </c>
      <c r="K584" t="s">
        <v>457</v>
      </c>
      <c r="L584" s="1">
        <v>10.4</v>
      </c>
    </row>
    <row r="585" spans="1:12">
      <c r="A585" t="s">
        <v>567</v>
      </c>
      <c r="B585">
        <v>483129</v>
      </c>
      <c r="C585" s="2" t="str">
        <f>"1520CBPL4P180"</f>
        <v>1520CBPL4P180</v>
      </c>
      <c r="D585" t="s">
        <v>611</v>
      </c>
      <c r="E585" t="s">
        <v>4</v>
      </c>
      <c r="F585">
        <v>6.5</v>
      </c>
      <c r="H585" t="s">
        <v>5</v>
      </c>
      <c r="I585" s="1">
        <v>44.21</v>
      </c>
      <c r="J585" s="1">
        <v>41.89</v>
      </c>
      <c r="K585" t="s">
        <v>6</v>
      </c>
    </row>
    <row r="586" spans="1:12">
      <c r="A586" t="s">
        <v>567</v>
      </c>
      <c r="B586">
        <v>458925</v>
      </c>
      <c r="C586" s="2" t="str">
        <f>"1596CW-186"</f>
        <v>1596CW-186</v>
      </c>
      <c r="D586" t="s">
        <v>612</v>
      </c>
      <c r="E586" t="s">
        <v>4</v>
      </c>
      <c r="F586">
        <v>20</v>
      </c>
      <c r="H586" t="s">
        <v>5</v>
      </c>
      <c r="I586" s="1">
        <v>178.58</v>
      </c>
      <c r="J586" s="1">
        <v>169.18</v>
      </c>
      <c r="K586" t="s">
        <v>6</v>
      </c>
    </row>
    <row r="587" spans="1:12">
      <c r="A587" t="s">
        <v>567</v>
      </c>
      <c r="B587">
        <v>379907</v>
      </c>
      <c r="C587" s="2" t="str">
        <f>"1600CT-110"</f>
        <v>1600CT-110</v>
      </c>
      <c r="D587" t="s">
        <v>613</v>
      </c>
      <c r="E587" t="s">
        <v>4</v>
      </c>
      <c r="F587">
        <v>18</v>
      </c>
      <c r="G587">
        <v>1.5</v>
      </c>
      <c r="H587" t="s">
        <v>106</v>
      </c>
      <c r="I587" s="1">
        <v>20.32</v>
      </c>
      <c r="J587" s="1">
        <v>19.239999999999998</v>
      </c>
      <c r="K587" t="s">
        <v>457</v>
      </c>
      <c r="L587" s="1">
        <v>21.16</v>
      </c>
    </row>
    <row r="588" spans="1:12">
      <c r="A588" t="s">
        <v>567</v>
      </c>
      <c r="B588">
        <v>380057</v>
      </c>
      <c r="C588" s="2" t="str">
        <f>"1600CT-138"</f>
        <v>1600CT-138</v>
      </c>
      <c r="D588" t="s">
        <v>614</v>
      </c>
      <c r="E588" t="s">
        <v>4</v>
      </c>
      <c r="F588">
        <v>18</v>
      </c>
      <c r="G588">
        <v>1.5</v>
      </c>
      <c r="H588" t="s">
        <v>106</v>
      </c>
      <c r="I588" s="1">
        <v>20.32</v>
      </c>
      <c r="J588" s="1">
        <v>19.239999999999998</v>
      </c>
      <c r="K588" t="s">
        <v>457</v>
      </c>
      <c r="L588" s="1">
        <v>21.16</v>
      </c>
    </row>
    <row r="589" spans="1:12">
      <c r="A589" t="s">
        <v>567</v>
      </c>
      <c r="B589">
        <v>367940</v>
      </c>
      <c r="C589" s="2" t="str">
        <f>"1600P-152"</f>
        <v>1600P-152</v>
      </c>
      <c r="D589" t="s">
        <v>615</v>
      </c>
      <c r="E589" t="s">
        <v>4</v>
      </c>
      <c r="F589">
        <v>14</v>
      </c>
      <c r="H589" t="s">
        <v>5</v>
      </c>
      <c r="I589" s="1">
        <v>79.59</v>
      </c>
      <c r="J589" s="1">
        <v>75.400000000000006</v>
      </c>
      <c r="K589" t="s">
        <v>6</v>
      </c>
    </row>
    <row r="590" spans="1:12">
      <c r="A590" t="s">
        <v>567</v>
      </c>
      <c r="B590">
        <v>368013</v>
      </c>
      <c r="C590" s="2" t="str">
        <f>"1600P-153"</f>
        <v>1600P-153</v>
      </c>
      <c r="D590" t="s">
        <v>616</v>
      </c>
      <c r="E590" t="s">
        <v>4</v>
      </c>
      <c r="F590">
        <v>14</v>
      </c>
      <c r="H590" t="s">
        <v>5</v>
      </c>
      <c r="I590" s="1">
        <v>79.59</v>
      </c>
      <c r="J590" s="1">
        <v>75.400000000000006</v>
      </c>
      <c r="K590" t="s">
        <v>6</v>
      </c>
    </row>
    <row r="591" spans="1:12">
      <c r="A591" t="s">
        <v>567</v>
      </c>
      <c r="B591">
        <v>380060</v>
      </c>
      <c r="C591" s="2" t="str">
        <f>"1600P2-152"</f>
        <v>1600P2-152</v>
      </c>
      <c r="D591" t="s">
        <v>617</v>
      </c>
      <c r="E591" t="s">
        <v>4</v>
      </c>
      <c r="F591">
        <v>4.75</v>
      </c>
      <c r="H591" t="s">
        <v>5</v>
      </c>
      <c r="I591" s="1">
        <v>28.16</v>
      </c>
      <c r="J591" s="1">
        <v>26.68</v>
      </c>
      <c r="K591" t="s">
        <v>6</v>
      </c>
    </row>
    <row r="592" spans="1:12">
      <c r="A592" t="s">
        <v>567</v>
      </c>
      <c r="B592">
        <v>368328</v>
      </c>
      <c r="C592" s="2" t="str">
        <f>"1600P2-153"</f>
        <v>1600P2-153</v>
      </c>
      <c r="D592" t="s">
        <v>618</v>
      </c>
      <c r="E592" t="s">
        <v>4</v>
      </c>
      <c r="F592">
        <v>4.75</v>
      </c>
      <c r="H592" t="s">
        <v>5</v>
      </c>
      <c r="I592" s="1">
        <v>28.16</v>
      </c>
      <c r="J592" s="1">
        <v>26.68</v>
      </c>
      <c r="K592" t="s">
        <v>6</v>
      </c>
    </row>
    <row r="593" spans="1:12">
      <c r="A593" t="s">
        <v>567</v>
      </c>
      <c r="B593">
        <v>370016</v>
      </c>
      <c r="C593" s="2" t="str">
        <f>"1600P2-156"</f>
        <v>1600P2-156</v>
      </c>
      <c r="D593" t="s">
        <v>619</v>
      </c>
      <c r="E593" t="s">
        <v>4</v>
      </c>
      <c r="F593">
        <v>4.75</v>
      </c>
      <c r="H593" t="s">
        <v>5</v>
      </c>
      <c r="I593" s="1">
        <v>28.16</v>
      </c>
      <c r="J593" s="1">
        <v>26.68</v>
      </c>
      <c r="K593" t="s">
        <v>6</v>
      </c>
    </row>
    <row r="594" spans="1:12">
      <c r="A594" t="s">
        <v>567</v>
      </c>
      <c r="B594">
        <v>389256</v>
      </c>
      <c r="C594" s="2" t="str">
        <f>"16C258151"</f>
        <v>16C258151</v>
      </c>
      <c r="D594" t="s">
        <v>620</v>
      </c>
      <c r="E594" t="s">
        <v>4</v>
      </c>
      <c r="F594">
        <v>25.98</v>
      </c>
      <c r="G594">
        <v>4.33</v>
      </c>
      <c r="H594" t="s">
        <v>20</v>
      </c>
      <c r="I594" s="1">
        <v>22.66</v>
      </c>
      <c r="J594" s="1">
        <v>21.48</v>
      </c>
      <c r="K594" t="s">
        <v>457</v>
      </c>
      <c r="L594" s="1">
        <v>23.62</v>
      </c>
    </row>
    <row r="595" spans="1:12">
      <c r="A595" t="s">
        <v>567</v>
      </c>
      <c r="B595">
        <v>431259</v>
      </c>
      <c r="C595" s="2" t="str">
        <f>"16CW-110"</f>
        <v>16CW-110</v>
      </c>
      <c r="D595" t="s">
        <v>621</v>
      </c>
      <c r="E595" t="s">
        <v>4</v>
      </c>
      <c r="F595">
        <v>17.52</v>
      </c>
      <c r="G595">
        <v>2.92</v>
      </c>
      <c r="H595" t="s">
        <v>20</v>
      </c>
      <c r="I595" s="1">
        <v>20.350000000000001</v>
      </c>
      <c r="J595" s="1">
        <v>19.28</v>
      </c>
      <c r="K595" t="s">
        <v>457</v>
      </c>
      <c r="L595" s="1">
        <v>21.21</v>
      </c>
    </row>
    <row r="596" spans="1:12">
      <c r="A596" t="s">
        <v>567</v>
      </c>
      <c r="B596">
        <v>380067</v>
      </c>
      <c r="C596" s="2" t="str">
        <f>"16CW-135"</f>
        <v>16CW-135</v>
      </c>
      <c r="D596" t="s">
        <v>622</v>
      </c>
      <c r="E596" t="s">
        <v>4</v>
      </c>
      <c r="F596">
        <v>17.52</v>
      </c>
      <c r="G596">
        <v>2.92</v>
      </c>
      <c r="H596" t="s">
        <v>20</v>
      </c>
      <c r="I596" s="1">
        <v>20.350000000000001</v>
      </c>
      <c r="J596" s="1">
        <v>19.28</v>
      </c>
      <c r="K596" t="s">
        <v>457</v>
      </c>
      <c r="L596" s="1">
        <v>21.21</v>
      </c>
    </row>
    <row r="597" spans="1:12">
      <c r="A597" t="s">
        <v>567</v>
      </c>
      <c r="B597">
        <v>423323</v>
      </c>
      <c r="C597" s="2" t="str">
        <f>"16PP-190"</f>
        <v>16PP-190</v>
      </c>
      <c r="D597" t="s">
        <v>623</v>
      </c>
      <c r="E597" t="s">
        <v>4</v>
      </c>
      <c r="F597">
        <v>12.96</v>
      </c>
      <c r="G597">
        <v>2.16</v>
      </c>
      <c r="H597" t="s">
        <v>20</v>
      </c>
      <c r="I597" s="1">
        <v>12.75</v>
      </c>
      <c r="J597" s="1">
        <v>12.08</v>
      </c>
      <c r="K597" t="s">
        <v>457</v>
      </c>
      <c r="L597" s="1">
        <v>13.28</v>
      </c>
    </row>
    <row r="598" spans="1:12">
      <c r="A598" t="s">
        <v>567</v>
      </c>
      <c r="B598">
        <v>458178</v>
      </c>
      <c r="C598" s="2" t="str">
        <f>"16S418-151"</f>
        <v>16S418-151</v>
      </c>
      <c r="D598" t="s">
        <v>624</v>
      </c>
      <c r="E598" t="s">
        <v>4</v>
      </c>
      <c r="F598">
        <v>29.5</v>
      </c>
      <c r="G598">
        <v>5.9</v>
      </c>
      <c r="H598" t="s">
        <v>151</v>
      </c>
      <c r="I598" s="1">
        <v>33.369999999999997</v>
      </c>
      <c r="J598" s="1">
        <v>31.62</v>
      </c>
      <c r="K598" t="s">
        <v>457</v>
      </c>
      <c r="L598" s="1">
        <v>34.78</v>
      </c>
    </row>
    <row r="599" spans="1:12">
      <c r="A599" t="s">
        <v>567</v>
      </c>
      <c r="B599">
        <v>432222</v>
      </c>
      <c r="C599" s="2" t="str">
        <f>"16S534151"</f>
        <v>16S534151</v>
      </c>
      <c r="D599" t="s">
        <v>625</v>
      </c>
      <c r="E599" t="s">
        <v>4</v>
      </c>
      <c r="F599">
        <v>30.52</v>
      </c>
      <c r="G599">
        <v>7.63</v>
      </c>
      <c r="H599" t="s">
        <v>153</v>
      </c>
      <c r="I599" s="1">
        <v>42.76</v>
      </c>
      <c r="J599" s="1">
        <v>40.51</v>
      </c>
      <c r="K599" t="s">
        <v>457</v>
      </c>
      <c r="L599" s="1">
        <v>44.56</v>
      </c>
    </row>
    <row r="600" spans="1:12">
      <c r="A600" t="s">
        <v>567</v>
      </c>
      <c r="B600">
        <v>458174</v>
      </c>
      <c r="C600" s="2" t="str">
        <f>"16S738-151"</f>
        <v>16S738-151</v>
      </c>
      <c r="D600" t="s">
        <v>626</v>
      </c>
      <c r="E600" t="s">
        <v>4</v>
      </c>
      <c r="F600">
        <v>28.5</v>
      </c>
      <c r="G600">
        <v>9.5</v>
      </c>
      <c r="H600" t="s">
        <v>189</v>
      </c>
      <c r="I600" s="1">
        <v>51.19</v>
      </c>
      <c r="J600" s="1">
        <v>48.5</v>
      </c>
      <c r="K600" t="s">
        <v>457</v>
      </c>
      <c r="L600" s="1">
        <v>53.35</v>
      </c>
    </row>
    <row r="601" spans="1:12">
      <c r="A601" t="s">
        <v>567</v>
      </c>
      <c r="B601">
        <v>458145</v>
      </c>
      <c r="C601" s="2" t="str">
        <f>"16S800-151"</f>
        <v>16S800-151</v>
      </c>
      <c r="D601" t="s">
        <v>627</v>
      </c>
      <c r="E601" t="s">
        <v>4</v>
      </c>
      <c r="F601">
        <v>22</v>
      </c>
      <c r="G601">
        <v>11</v>
      </c>
      <c r="H601" t="s">
        <v>175</v>
      </c>
      <c r="I601" s="1">
        <v>60.52</v>
      </c>
      <c r="J601" s="1">
        <v>57.33</v>
      </c>
      <c r="K601" t="s">
        <v>457</v>
      </c>
      <c r="L601" s="1">
        <v>63.06</v>
      </c>
    </row>
    <row r="602" spans="1:12">
      <c r="A602" t="s">
        <v>567</v>
      </c>
      <c r="B602">
        <v>380068</v>
      </c>
      <c r="C602" s="2" t="str">
        <f>"182615CW-135"</f>
        <v>182615CW-135</v>
      </c>
      <c r="D602" t="s">
        <v>628</v>
      </c>
      <c r="E602" t="s">
        <v>4</v>
      </c>
      <c r="F602">
        <v>35.49</v>
      </c>
      <c r="G602">
        <v>11.83</v>
      </c>
      <c r="H602" t="s">
        <v>189</v>
      </c>
      <c r="I602" s="1">
        <v>66.56</v>
      </c>
      <c r="J602" s="1">
        <v>63.06</v>
      </c>
      <c r="K602" t="s">
        <v>457</v>
      </c>
      <c r="L602" s="1">
        <v>69.37</v>
      </c>
    </row>
    <row r="603" spans="1:12">
      <c r="A603" t="s">
        <v>567</v>
      </c>
      <c r="B603">
        <v>380074</v>
      </c>
      <c r="C603" s="2" t="str">
        <f>"182615P-148"</f>
        <v>182615P-148</v>
      </c>
      <c r="D603" t="s">
        <v>629</v>
      </c>
      <c r="E603" t="s">
        <v>4</v>
      </c>
      <c r="F603">
        <v>13.62</v>
      </c>
      <c r="G603">
        <v>4.54</v>
      </c>
      <c r="H603" t="s">
        <v>189</v>
      </c>
      <c r="I603" s="1">
        <v>46.46</v>
      </c>
      <c r="J603" s="1">
        <v>44.02</v>
      </c>
      <c r="K603" t="s">
        <v>457</v>
      </c>
      <c r="L603" s="1">
        <v>48.42</v>
      </c>
    </row>
    <row r="604" spans="1:12">
      <c r="A604" t="s">
        <v>567</v>
      </c>
      <c r="B604">
        <v>380076</v>
      </c>
      <c r="C604" s="2" t="str">
        <f>"18263CW-135"</f>
        <v>18263CW-135</v>
      </c>
      <c r="D604" t="s">
        <v>630</v>
      </c>
      <c r="E604" t="s">
        <v>4</v>
      </c>
      <c r="F604">
        <v>25.02</v>
      </c>
      <c r="G604">
        <v>4.17</v>
      </c>
      <c r="H604" t="s">
        <v>20</v>
      </c>
      <c r="I604" s="1">
        <v>27.17</v>
      </c>
      <c r="J604" s="1">
        <v>25.74</v>
      </c>
      <c r="K604" t="s">
        <v>457</v>
      </c>
      <c r="L604" s="1">
        <v>28.31</v>
      </c>
    </row>
    <row r="605" spans="1:12">
      <c r="A605" t="s">
        <v>567</v>
      </c>
      <c r="B605">
        <v>380078</v>
      </c>
      <c r="C605" s="2" t="str">
        <f>"18263P-148"</f>
        <v>18263P-148</v>
      </c>
      <c r="D605" t="s">
        <v>631</v>
      </c>
      <c r="E605" t="s">
        <v>4</v>
      </c>
      <c r="F605">
        <v>19.02</v>
      </c>
      <c r="G605">
        <v>3.17</v>
      </c>
      <c r="H605" t="s">
        <v>20</v>
      </c>
      <c r="I605" s="1">
        <v>19.02</v>
      </c>
      <c r="J605" s="1">
        <v>18.02</v>
      </c>
      <c r="K605" t="s">
        <v>457</v>
      </c>
      <c r="L605" s="1">
        <v>19.82</v>
      </c>
    </row>
    <row r="606" spans="1:12">
      <c r="A606" t="s">
        <v>567</v>
      </c>
      <c r="B606">
        <v>380083</v>
      </c>
      <c r="C606" s="2" t="str">
        <f>"18266CW-135"</f>
        <v>18266CW-135</v>
      </c>
      <c r="D606" t="s">
        <v>632</v>
      </c>
      <c r="E606" t="s">
        <v>4</v>
      </c>
      <c r="F606">
        <v>36.24</v>
      </c>
      <c r="G606">
        <v>6.04</v>
      </c>
      <c r="H606" t="s">
        <v>20</v>
      </c>
      <c r="I606" s="1">
        <v>35.200000000000003</v>
      </c>
      <c r="J606" s="1">
        <v>33.35</v>
      </c>
      <c r="K606" t="s">
        <v>457</v>
      </c>
      <c r="L606" s="1">
        <v>36.68</v>
      </c>
    </row>
    <row r="607" spans="1:12">
      <c r="A607" t="s">
        <v>567</v>
      </c>
      <c r="B607">
        <v>380087</v>
      </c>
      <c r="C607" s="2" t="str">
        <f>"18266P-148"</f>
        <v>18266P-148</v>
      </c>
      <c r="D607" t="s">
        <v>633</v>
      </c>
      <c r="E607" t="s">
        <v>4</v>
      </c>
      <c r="F607">
        <v>27</v>
      </c>
      <c r="G607">
        <v>4.5</v>
      </c>
      <c r="H607" t="s">
        <v>20</v>
      </c>
      <c r="I607" s="1">
        <v>24.97</v>
      </c>
      <c r="J607" s="1">
        <v>23.66</v>
      </c>
      <c r="K607" t="s">
        <v>457</v>
      </c>
      <c r="L607" s="1">
        <v>26.03</v>
      </c>
    </row>
    <row r="608" spans="1:12">
      <c r="A608" t="s">
        <v>567</v>
      </c>
      <c r="B608">
        <v>380090</v>
      </c>
      <c r="C608" s="2" t="str">
        <f>"18269CW-135"</f>
        <v>18269CW-135</v>
      </c>
      <c r="D608" t="s">
        <v>634</v>
      </c>
      <c r="E608" t="s">
        <v>4</v>
      </c>
      <c r="F608">
        <v>31.76</v>
      </c>
      <c r="G608">
        <v>7.94</v>
      </c>
      <c r="H608" t="s">
        <v>153</v>
      </c>
      <c r="I608" s="1">
        <v>46.31</v>
      </c>
      <c r="J608" s="1">
        <v>43.88</v>
      </c>
      <c r="K608" t="s">
        <v>457</v>
      </c>
      <c r="L608" s="1">
        <v>48.26</v>
      </c>
    </row>
    <row r="609" spans="1:12">
      <c r="A609" t="s">
        <v>567</v>
      </c>
      <c r="B609">
        <v>380097</v>
      </c>
      <c r="C609" s="2" t="str">
        <f>"18269P-148"</f>
        <v>18269P-148</v>
      </c>
      <c r="D609" t="s">
        <v>635</v>
      </c>
      <c r="E609" t="s">
        <v>4</v>
      </c>
      <c r="F609">
        <v>34.74</v>
      </c>
      <c r="G609">
        <v>5.79</v>
      </c>
      <c r="H609" t="s">
        <v>20</v>
      </c>
      <c r="I609" s="1">
        <v>32.58</v>
      </c>
      <c r="J609" s="1">
        <v>30.86</v>
      </c>
      <c r="K609" t="s">
        <v>457</v>
      </c>
      <c r="L609" s="1">
        <v>33.950000000000003</v>
      </c>
    </row>
    <row r="610" spans="1:12">
      <c r="A610" t="s">
        <v>567</v>
      </c>
      <c r="B610">
        <v>380099</v>
      </c>
      <c r="C610" s="2" t="str">
        <f>"1826CCW-135"</f>
        <v>1826CCW-135</v>
      </c>
      <c r="D610" t="s">
        <v>636</v>
      </c>
      <c r="E610" t="s">
        <v>4</v>
      </c>
      <c r="F610">
        <v>18</v>
      </c>
      <c r="G610">
        <v>3</v>
      </c>
      <c r="H610" t="s">
        <v>20</v>
      </c>
      <c r="I610" s="1">
        <v>18.43</v>
      </c>
      <c r="J610" s="1">
        <v>17.46</v>
      </c>
      <c r="K610" t="s">
        <v>457</v>
      </c>
      <c r="L610" s="1">
        <v>19.2</v>
      </c>
    </row>
    <row r="611" spans="1:12">
      <c r="A611" t="s">
        <v>567</v>
      </c>
      <c r="B611">
        <v>487289</v>
      </c>
      <c r="C611" s="2" t="str">
        <f>"1826CLRCW"</f>
        <v>1826CLRCW</v>
      </c>
      <c r="D611" t="s">
        <v>637</v>
      </c>
      <c r="E611" t="s">
        <v>4</v>
      </c>
      <c r="F611">
        <v>28.02</v>
      </c>
      <c r="G611">
        <v>4.67</v>
      </c>
      <c r="H611" t="s">
        <v>20</v>
      </c>
      <c r="I611" s="1">
        <v>29.12</v>
      </c>
      <c r="J611" s="1">
        <v>27.59</v>
      </c>
      <c r="K611" t="s">
        <v>21</v>
      </c>
      <c r="L611" s="1">
        <v>30.34</v>
      </c>
    </row>
    <row r="612" spans="1:12">
      <c r="A612" t="s">
        <v>567</v>
      </c>
      <c r="B612">
        <v>380103</v>
      </c>
      <c r="C612" s="2" t="str">
        <f>"1826CP-148"</f>
        <v>1826CP-148</v>
      </c>
      <c r="D612" t="s">
        <v>638</v>
      </c>
      <c r="E612" t="s">
        <v>4</v>
      </c>
      <c r="F612">
        <v>14.28</v>
      </c>
      <c r="G612">
        <v>2.38</v>
      </c>
      <c r="H612" t="s">
        <v>20</v>
      </c>
      <c r="I612" s="1">
        <v>14.66</v>
      </c>
      <c r="J612" s="1">
        <v>13.9</v>
      </c>
      <c r="K612" t="s">
        <v>457</v>
      </c>
      <c r="L612" s="1">
        <v>15.29</v>
      </c>
    </row>
    <row r="613" spans="1:12">
      <c r="A613" t="s">
        <v>567</v>
      </c>
      <c r="B613">
        <v>380105</v>
      </c>
      <c r="C613" s="2" t="str">
        <f>"18SFSCW-135"</f>
        <v>18SFSCW-135</v>
      </c>
      <c r="D613" t="s">
        <v>639</v>
      </c>
      <c r="E613" t="s">
        <v>4</v>
      </c>
      <c r="F613">
        <v>19.02</v>
      </c>
      <c r="G613">
        <v>3.17</v>
      </c>
      <c r="H613" t="s">
        <v>20</v>
      </c>
      <c r="I613" s="1">
        <v>24.23</v>
      </c>
      <c r="J613" s="1">
        <v>22.96</v>
      </c>
      <c r="K613" t="s">
        <v>457</v>
      </c>
      <c r="L613" s="1">
        <v>25.25</v>
      </c>
    </row>
    <row r="614" spans="1:12">
      <c r="A614" t="s">
        <v>567</v>
      </c>
      <c r="B614">
        <v>380107</v>
      </c>
      <c r="C614" s="2" t="str">
        <f>"18SFSP-148"</f>
        <v>18SFSP-148</v>
      </c>
      <c r="D614" t="s">
        <v>640</v>
      </c>
      <c r="E614" t="s">
        <v>4</v>
      </c>
      <c r="F614">
        <v>14.76</v>
      </c>
      <c r="G614">
        <v>2.46</v>
      </c>
      <c r="H614" t="s">
        <v>20</v>
      </c>
      <c r="I614" s="1">
        <v>15.16</v>
      </c>
      <c r="J614" s="1">
        <v>14.37</v>
      </c>
      <c r="K614" t="s">
        <v>457</v>
      </c>
      <c r="L614" s="1">
        <v>15.8</v>
      </c>
    </row>
    <row r="615" spans="1:12">
      <c r="A615" t="s">
        <v>567</v>
      </c>
      <c r="B615">
        <v>367950</v>
      </c>
      <c r="C615" s="2" t="str">
        <f>"2000P-152"</f>
        <v>2000P-152</v>
      </c>
      <c r="D615" t="s">
        <v>641</v>
      </c>
      <c r="E615" t="s">
        <v>4</v>
      </c>
      <c r="F615">
        <v>17.25</v>
      </c>
      <c r="H615" t="s">
        <v>5</v>
      </c>
      <c r="I615" s="1">
        <v>98.25</v>
      </c>
      <c r="J615" s="1">
        <v>93.08</v>
      </c>
      <c r="K615" t="s">
        <v>6</v>
      </c>
    </row>
    <row r="616" spans="1:12">
      <c r="A616" t="s">
        <v>567</v>
      </c>
      <c r="B616">
        <v>369886</v>
      </c>
      <c r="C616" s="2" t="str">
        <f>"2000P-153"</f>
        <v>2000P-153</v>
      </c>
      <c r="D616" t="s">
        <v>642</v>
      </c>
      <c r="E616" t="s">
        <v>4</v>
      </c>
      <c r="F616">
        <v>17.25</v>
      </c>
      <c r="H616" t="s">
        <v>5</v>
      </c>
      <c r="I616" s="1">
        <v>98.25</v>
      </c>
      <c r="J616" s="1">
        <v>93.08</v>
      </c>
      <c r="K616" t="s">
        <v>6</v>
      </c>
    </row>
    <row r="617" spans="1:12">
      <c r="A617" t="s">
        <v>567</v>
      </c>
      <c r="B617">
        <v>376213</v>
      </c>
      <c r="C617" s="2" t="str">
        <f>"2000P-156"</f>
        <v>2000P-156</v>
      </c>
      <c r="D617" t="s">
        <v>643</v>
      </c>
      <c r="E617" t="s">
        <v>4</v>
      </c>
      <c r="F617">
        <v>17.25</v>
      </c>
      <c r="H617" t="s">
        <v>5</v>
      </c>
      <c r="I617" s="1">
        <v>98.25</v>
      </c>
      <c r="J617" s="1">
        <v>93.08</v>
      </c>
      <c r="K617" t="s">
        <v>6</v>
      </c>
    </row>
    <row r="618" spans="1:12">
      <c r="A618" t="s">
        <v>567</v>
      </c>
      <c r="B618">
        <v>373978</v>
      </c>
      <c r="C618" s="2" t="str">
        <f>"2000P2152"</f>
        <v>2000P2152</v>
      </c>
      <c r="D618" t="s">
        <v>644</v>
      </c>
      <c r="E618" t="s">
        <v>4</v>
      </c>
      <c r="F618">
        <v>5.5</v>
      </c>
      <c r="H618" t="s">
        <v>5</v>
      </c>
      <c r="I618" s="1">
        <v>35.71</v>
      </c>
      <c r="J618" s="1">
        <v>33.840000000000003</v>
      </c>
      <c r="K618" t="s">
        <v>6</v>
      </c>
    </row>
    <row r="619" spans="1:12">
      <c r="A619" t="s">
        <v>567</v>
      </c>
      <c r="B619">
        <v>369847</v>
      </c>
      <c r="C619" s="2" t="str">
        <f>"2000P2153"</f>
        <v>2000P2153</v>
      </c>
      <c r="D619" t="s">
        <v>645</v>
      </c>
      <c r="E619" t="s">
        <v>4</v>
      </c>
      <c r="F619">
        <v>5.5</v>
      </c>
      <c r="H619" t="s">
        <v>5</v>
      </c>
      <c r="I619" s="1">
        <v>35.71</v>
      </c>
      <c r="J619" s="1">
        <v>33.840000000000003</v>
      </c>
      <c r="K619" t="s">
        <v>6</v>
      </c>
    </row>
    <row r="620" spans="1:12">
      <c r="A620" t="s">
        <v>567</v>
      </c>
      <c r="B620">
        <v>384521</v>
      </c>
      <c r="C620" s="2" t="str">
        <f>"2000P2-156"</f>
        <v>2000P2-156</v>
      </c>
      <c r="D620" t="s">
        <v>646</v>
      </c>
      <c r="E620" t="s">
        <v>4</v>
      </c>
      <c r="F620">
        <v>5.5</v>
      </c>
      <c r="H620" t="s">
        <v>5</v>
      </c>
      <c r="I620" s="1">
        <v>35.71</v>
      </c>
      <c r="J620" s="1">
        <v>33.840000000000003</v>
      </c>
      <c r="K620" t="s">
        <v>6</v>
      </c>
    </row>
    <row r="621" spans="1:12">
      <c r="A621" t="s">
        <v>567</v>
      </c>
      <c r="B621">
        <v>380112</v>
      </c>
      <c r="C621" s="2" t="str">
        <f>"200BC1-131"</f>
        <v>200BC1-131</v>
      </c>
      <c r="D621" t="s">
        <v>568</v>
      </c>
      <c r="E621" t="s">
        <v>4</v>
      </c>
      <c r="F621">
        <v>4.75</v>
      </c>
      <c r="H621" t="s">
        <v>5</v>
      </c>
      <c r="I621" s="1">
        <v>37.049999999999997</v>
      </c>
      <c r="J621" s="1">
        <v>35.1</v>
      </c>
      <c r="K621" t="s">
        <v>6</v>
      </c>
    </row>
    <row r="622" spans="1:12">
      <c r="A622" t="s">
        <v>567</v>
      </c>
      <c r="B622">
        <v>380115</v>
      </c>
      <c r="C622" s="2" t="str">
        <f>"200BC1-158"</f>
        <v>200BC1-158</v>
      </c>
      <c r="D622" t="s">
        <v>570</v>
      </c>
      <c r="E622" t="s">
        <v>4</v>
      </c>
      <c r="F622">
        <v>4.75</v>
      </c>
      <c r="H622" t="s">
        <v>5</v>
      </c>
      <c r="I622" s="1">
        <v>37.049999999999997</v>
      </c>
      <c r="J622" s="1">
        <v>35.1</v>
      </c>
      <c r="K622" t="s">
        <v>6</v>
      </c>
    </row>
    <row r="623" spans="1:12">
      <c r="A623" t="s">
        <v>567</v>
      </c>
      <c r="B623">
        <v>380117</v>
      </c>
      <c r="C623" s="2" t="str">
        <f>"200MCCW-135"</f>
        <v>200MCCW-135</v>
      </c>
      <c r="D623" t="s">
        <v>647</v>
      </c>
      <c r="E623" t="s">
        <v>4</v>
      </c>
      <c r="F623">
        <v>10.199999999999999</v>
      </c>
      <c r="G623">
        <v>0.85</v>
      </c>
      <c r="H623" t="s">
        <v>106</v>
      </c>
      <c r="I623" s="1">
        <v>11.67</v>
      </c>
      <c r="J623" s="1">
        <v>11.05</v>
      </c>
      <c r="K623" t="s">
        <v>457</v>
      </c>
      <c r="L623" s="1">
        <v>12.16</v>
      </c>
    </row>
    <row r="624" spans="1:12">
      <c r="A624" t="s">
        <v>567</v>
      </c>
      <c r="B624">
        <v>432143</v>
      </c>
      <c r="C624" s="2" t="str">
        <f>"20CFC-135"</f>
        <v>20CFC-135</v>
      </c>
      <c r="D624" t="s">
        <v>648</v>
      </c>
      <c r="E624" t="s">
        <v>4</v>
      </c>
      <c r="F624">
        <v>1.5</v>
      </c>
      <c r="H624" t="s">
        <v>5</v>
      </c>
      <c r="I624" s="1">
        <v>17.97</v>
      </c>
      <c r="J624" s="1">
        <v>17.03</v>
      </c>
      <c r="K624" t="s">
        <v>6</v>
      </c>
    </row>
    <row r="625" spans="1:12">
      <c r="A625" t="s">
        <v>567</v>
      </c>
      <c r="B625">
        <v>380120</v>
      </c>
      <c r="C625" s="2" t="str">
        <f>"20CWC-135"</f>
        <v>20CWC-135</v>
      </c>
      <c r="D625" t="s">
        <v>649</v>
      </c>
      <c r="E625" t="s">
        <v>4</v>
      </c>
      <c r="F625">
        <v>3.78</v>
      </c>
      <c r="G625">
        <v>0.63</v>
      </c>
      <c r="H625" t="s">
        <v>20</v>
      </c>
      <c r="I625" s="1">
        <v>5.8</v>
      </c>
      <c r="J625" s="1">
        <v>5.5</v>
      </c>
      <c r="K625" t="s">
        <v>457</v>
      </c>
      <c r="L625" s="1">
        <v>6.05</v>
      </c>
    </row>
    <row r="626" spans="1:12">
      <c r="A626" t="s">
        <v>567</v>
      </c>
      <c r="B626">
        <v>380123</v>
      </c>
      <c r="C626" s="2" t="str">
        <f>"20CWCH-135"</f>
        <v>20CWCH-135</v>
      </c>
      <c r="D626" t="s">
        <v>650</v>
      </c>
      <c r="E626" t="s">
        <v>4</v>
      </c>
      <c r="F626">
        <v>4.26</v>
      </c>
      <c r="G626">
        <v>0.71</v>
      </c>
      <c r="H626" t="s">
        <v>20</v>
      </c>
      <c r="I626" s="1">
        <v>5.8</v>
      </c>
      <c r="J626" s="1">
        <v>5.5</v>
      </c>
      <c r="K626" t="s">
        <v>457</v>
      </c>
      <c r="L626" s="1">
        <v>6.05</v>
      </c>
    </row>
    <row r="627" spans="1:12">
      <c r="A627" t="s">
        <v>567</v>
      </c>
      <c r="B627">
        <v>380125</v>
      </c>
      <c r="C627" s="2" t="str">
        <f>"20CWCHN-135"</f>
        <v>20CWCHN-135</v>
      </c>
      <c r="D627" t="s">
        <v>651</v>
      </c>
      <c r="E627" t="s">
        <v>4</v>
      </c>
      <c r="F627">
        <v>4.26</v>
      </c>
      <c r="G627">
        <v>0.71</v>
      </c>
      <c r="H627" t="s">
        <v>20</v>
      </c>
      <c r="I627" s="1">
        <v>6.79</v>
      </c>
      <c r="J627" s="1">
        <v>6.44</v>
      </c>
      <c r="K627" t="s">
        <v>457</v>
      </c>
      <c r="L627" s="1">
        <v>7.08</v>
      </c>
    </row>
    <row r="628" spans="1:12">
      <c r="A628" t="s">
        <v>567</v>
      </c>
      <c r="B628">
        <v>431267</v>
      </c>
      <c r="C628" s="2" t="str">
        <f>"20CWD-135"</f>
        <v>20CWD-135</v>
      </c>
      <c r="D628" t="s">
        <v>652</v>
      </c>
      <c r="E628" t="s">
        <v>4</v>
      </c>
      <c r="F628">
        <v>2.52</v>
      </c>
      <c r="G628">
        <v>0.42</v>
      </c>
      <c r="H628" t="s">
        <v>20</v>
      </c>
      <c r="I628" s="1">
        <v>4.45</v>
      </c>
      <c r="J628" s="1">
        <v>4.21</v>
      </c>
      <c r="K628" t="s">
        <v>457</v>
      </c>
      <c r="L628" s="1">
        <v>4.63</v>
      </c>
    </row>
    <row r="629" spans="1:12">
      <c r="A629" t="s">
        <v>567</v>
      </c>
      <c r="B629">
        <v>382390</v>
      </c>
      <c r="C629" s="2" t="str">
        <f>"20CWLN-135"</f>
        <v>20CWLN-135</v>
      </c>
      <c r="D629" t="s">
        <v>653</v>
      </c>
      <c r="E629" t="s">
        <v>4</v>
      </c>
      <c r="F629">
        <v>4.9800000000000004</v>
      </c>
      <c r="G629">
        <v>0.83</v>
      </c>
      <c r="H629" t="s">
        <v>20</v>
      </c>
      <c r="I629" s="1">
        <v>9.17</v>
      </c>
      <c r="J629" s="1">
        <v>8.68</v>
      </c>
      <c r="K629" t="s">
        <v>457</v>
      </c>
      <c r="L629" s="1">
        <v>9.5500000000000007</v>
      </c>
    </row>
    <row r="630" spans="1:12">
      <c r="A630" t="s">
        <v>567</v>
      </c>
      <c r="B630">
        <v>380129</v>
      </c>
      <c r="C630" s="2" t="str">
        <f>"20HPCH-150"</f>
        <v>20HPCH-150</v>
      </c>
      <c r="D630" t="s">
        <v>654</v>
      </c>
      <c r="E630" t="s">
        <v>4</v>
      </c>
      <c r="F630">
        <v>4.74</v>
      </c>
      <c r="G630">
        <v>0.79</v>
      </c>
      <c r="H630" t="s">
        <v>20</v>
      </c>
      <c r="I630" s="1">
        <v>12.97</v>
      </c>
      <c r="J630" s="1">
        <v>12.29</v>
      </c>
      <c r="K630" t="s">
        <v>457</v>
      </c>
      <c r="L630" s="1">
        <v>13.51</v>
      </c>
    </row>
    <row r="631" spans="1:12">
      <c r="A631" t="s">
        <v>567</v>
      </c>
      <c r="B631">
        <v>382393</v>
      </c>
      <c r="C631" s="2" t="str">
        <f>"20HPLN-150"</f>
        <v>20HPLN-150</v>
      </c>
      <c r="D631" t="s">
        <v>655</v>
      </c>
      <c r="E631" t="s">
        <v>4</v>
      </c>
      <c r="F631">
        <v>4.9800000000000004</v>
      </c>
      <c r="G631">
        <v>0.83</v>
      </c>
      <c r="H631" t="s">
        <v>20</v>
      </c>
      <c r="I631" s="1">
        <v>21.52</v>
      </c>
      <c r="J631" s="1">
        <v>20.38</v>
      </c>
      <c r="K631" t="s">
        <v>457</v>
      </c>
      <c r="L631" s="1">
        <v>22.42</v>
      </c>
    </row>
    <row r="632" spans="1:12">
      <c r="A632" t="s">
        <v>567</v>
      </c>
      <c r="B632">
        <v>423335</v>
      </c>
      <c r="C632" s="2" t="str">
        <f>"20PPCH-190"</f>
        <v>20PPCH-190</v>
      </c>
      <c r="D632" t="s">
        <v>656</v>
      </c>
      <c r="E632" t="s">
        <v>4</v>
      </c>
      <c r="F632">
        <v>3</v>
      </c>
      <c r="G632">
        <v>0.5</v>
      </c>
      <c r="H632" t="s">
        <v>20</v>
      </c>
      <c r="I632" s="1">
        <v>5.0599999999999996</v>
      </c>
      <c r="J632" s="1">
        <v>4.8</v>
      </c>
      <c r="K632" t="s">
        <v>457</v>
      </c>
      <c r="L632" s="1">
        <v>5.28</v>
      </c>
    </row>
    <row r="633" spans="1:12">
      <c r="A633" t="s">
        <v>567</v>
      </c>
      <c r="B633">
        <v>431291</v>
      </c>
      <c r="C633" s="2" t="str">
        <f>"20PPSC-190"</f>
        <v>20PPSC-190</v>
      </c>
      <c r="D633" t="s">
        <v>657</v>
      </c>
      <c r="E633" t="s">
        <v>4</v>
      </c>
      <c r="F633">
        <v>3.48</v>
      </c>
      <c r="G633">
        <v>0.57999999999999996</v>
      </c>
      <c r="H633" t="s">
        <v>20</v>
      </c>
      <c r="I633" s="1">
        <v>4.51</v>
      </c>
      <c r="J633" s="1">
        <v>4.26</v>
      </c>
      <c r="K633" t="s">
        <v>457</v>
      </c>
      <c r="L633" s="1">
        <v>4.6900000000000004</v>
      </c>
    </row>
    <row r="634" spans="1:12">
      <c r="A634" t="s">
        <v>567</v>
      </c>
      <c r="B634">
        <v>431266</v>
      </c>
      <c r="C634" s="2" t="str">
        <f>"20SC-148"</f>
        <v>20SC-148</v>
      </c>
      <c r="D634" t="s">
        <v>658</v>
      </c>
      <c r="E634" t="s">
        <v>4</v>
      </c>
      <c r="F634">
        <v>3.24</v>
      </c>
      <c r="G634">
        <v>0.54</v>
      </c>
      <c r="H634" t="s">
        <v>20</v>
      </c>
      <c r="I634" s="1">
        <v>3.98</v>
      </c>
      <c r="J634" s="1">
        <v>3.77</v>
      </c>
      <c r="K634" t="s">
        <v>457</v>
      </c>
      <c r="L634" s="1">
        <v>4.1500000000000004</v>
      </c>
    </row>
    <row r="635" spans="1:12">
      <c r="A635" t="s">
        <v>567</v>
      </c>
      <c r="B635">
        <v>431262</v>
      </c>
      <c r="C635" s="2" t="str">
        <f>"22CW-110"</f>
        <v>22CW-110</v>
      </c>
      <c r="D635" t="s">
        <v>659</v>
      </c>
      <c r="E635" t="s">
        <v>4</v>
      </c>
      <c r="F635">
        <v>5.76</v>
      </c>
      <c r="G635">
        <v>0.96</v>
      </c>
      <c r="H635" t="s">
        <v>20</v>
      </c>
      <c r="I635" s="1">
        <v>7.32</v>
      </c>
      <c r="J635" s="1">
        <v>6.93</v>
      </c>
      <c r="K635" t="s">
        <v>457</v>
      </c>
      <c r="L635" s="1">
        <v>7.62</v>
      </c>
    </row>
    <row r="636" spans="1:12">
      <c r="A636" t="s">
        <v>567</v>
      </c>
      <c r="B636">
        <v>380133</v>
      </c>
      <c r="C636" s="2" t="str">
        <f>"22CW-135"</f>
        <v>22CW-135</v>
      </c>
      <c r="D636" t="s">
        <v>660</v>
      </c>
      <c r="E636" t="s">
        <v>4</v>
      </c>
      <c r="F636">
        <v>5.76</v>
      </c>
      <c r="G636">
        <v>0.96</v>
      </c>
      <c r="H636" t="s">
        <v>20</v>
      </c>
      <c r="I636" s="1">
        <v>7.32</v>
      </c>
      <c r="J636" s="1">
        <v>6.93</v>
      </c>
      <c r="K636" t="s">
        <v>457</v>
      </c>
      <c r="L636" s="1">
        <v>7.62</v>
      </c>
    </row>
    <row r="637" spans="1:12">
      <c r="A637" t="s">
        <v>567</v>
      </c>
      <c r="B637">
        <v>380135</v>
      </c>
      <c r="C637" s="2" t="str">
        <f>"22HP-150"</f>
        <v>22HP-150</v>
      </c>
      <c r="D637" t="s">
        <v>661</v>
      </c>
      <c r="E637" t="s">
        <v>4</v>
      </c>
      <c r="F637">
        <v>6.24</v>
      </c>
      <c r="G637">
        <v>1.04</v>
      </c>
      <c r="H637" t="s">
        <v>20</v>
      </c>
      <c r="I637" s="1">
        <v>15.59</v>
      </c>
      <c r="J637" s="1">
        <v>14.77</v>
      </c>
      <c r="K637" t="s">
        <v>457</v>
      </c>
      <c r="L637" s="1">
        <v>16.239999999999998</v>
      </c>
    </row>
    <row r="638" spans="1:12">
      <c r="A638" t="s">
        <v>567</v>
      </c>
      <c r="B638">
        <v>380136</v>
      </c>
      <c r="C638" s="2" t="str">
        <f>"22SFSCW-135"</f>
        <v>22SFSCW-135</v>
      </c>
      <c r="D638" t="s">
        <v>662</v>
      </c>
      <c r="E638" t="s">
        <v>4</v>
      </c>
      <c r="F638">
        <v>25.26</v>
      </c>
      <c r="G638">
        <v>4.21</v>
      </c>
      <c r="H638" t="s">
        <v>20</v>
      </c>
      <c r="I638" s="1">
        <v>30.72</v>
      </c>
      <c r="J638" s="1">
        <v>29.11</v>
      </c>
      <c r="K638" t="s">
        <v>457</v>
      </c>
      <c r="L638" s="1">
        <v>32.020000000000003</v>
      </c>
    </row>
    <row r="639" spans="1:12">
      <c r="A639" t="s">
        <v>567</v>
      </c>
      <c r="B639">
        <v>380137</v>
      </c>
      <c r="C639" s="2" t="str">
        <f>"22SFSP-148"</f>
        <v>22SFSP-148</v>
      </c>
      <c r="D639" t="s">
        <v>663</v>
      </c>
      <c r="E639" t="s">
        <v>4</v>
      </c>
      <c r="F639">
        <v>20.28</v>
      </c>
      <c r="G639">
        <v>3.38</v>
      </c>
      <c r="H639" t="s">
        <v>20</v>
      </c>
      <c r="I639" s="1">
        <v>18.53</v>
      </c>
      <c r="J639" s="1">
        <v>17.55</v>
      </c>
      <c r="K639" t="s">
        <v>457</v>
      </c>
      <c r="L639" s="1">
        <v>19.309999999999999</v>
      </c>
    </row>
    <row r="640" spans="1:12">
      <c r="A640" t="s">
        <v>567</v>
      </c>
      <c r="B640">
        <v>459598</v>
      </c>
      <c r="C640" s="2" t="str">
        <f>"23CLRCW135"</f>
        <v>23CLRCW135</v>
      </c>
      <c r="D640" t="s">
        <v>664</v>
      </c>
      <c r="E640" t="s">
        <v>4</v>
      </c>
      <c r="F640">
        <v>6.48</v>
      </c>
      <c r="G640">
        <v>1.08</v>
      </c>
      <c r="H640" t="s">
        <v>20</v>
      </c>
      <c r="I640" s="1">
        <v>9.11</v>
      </c>
      <c r="J640" s="1">
        <v>8.6300000000000008</v>
      </c>
      <c r="K640" t="s">
        <v>457</v>
      </c>
      <c r="L640" s="1">
        <v>9.5</v>
      </c>
    </row>
    <row r="641" spans="1:12">
      <c r="A641" t="s">
        <v>567</v>
      </c>
      <c r="B641">
        <v>401468</v>
      </c>
      <c r="C641" s="2" t="str">
        <f>"23SLB250"</f>
        <v>23SLB250</v>
      </c>
      <c r="D641" t="s">
        <v>665</v>
      </c>
      <c r="E641" t="s">
        <v>4</v>
      </c>
      <c r="F641">
        <v>10.08</v>
      </c>
      <c r="G641">
        <v>0.42</v>
      </c>
      <c r="H641" t="s">
        <v>666</v>
      </c>
      <c r="I641" s="1">
        <v>18.149999999999999</v>
      </c>
      <c r="J641" s="1">
        <v>17.2</v>
      </c>
      <c r="K641" t="s">
        <v>667</v>
      </c>
      <c r="L641" s="1">
        <v>18.920000000000002</v>
      </c>
    </row>
    <row r="642" spans="1:12">
      <c r="A642" t="s">
        <v>567</v>
      </c>
      <c r="B642">
        <v>431263</v>
      </c>
      <c r="C642" s="2" t="str">
        <f>"24CW-110"</f>
        <v>24CW-110</v>
      </c>
      <c r="D642" t="s">
        <v>668</v>
      </c>
      <c r="E642" t="s">
        <v>4</v>
      </c>
      <c r="F642">
        <v>7.5</v>
      </c>
      <c r="G642">
        <v>1.25</v>
      </c>
      <c r="H642" t="s">
        <v>20</v>
      </c>
      <c r="I642" s="1">
        <v>9.11</v>
      </c>
      <c r="J642" s="1">
        <v>8.6300000000000008</v>
      </c>
      <c r="K642" t="s">
        <v>457</v>
      </c>
      <c r="L642" s="1">
        <v>9.5</v>
      </c>
    </row>
    <row r="643" spans="1:12">
      <c r="A643" t="s">
        <v>567</v>
      </c>
      <c r="B643">
        <v>380138</v>
      </c>
      <c r="C643" s="2" t="str">
        <f>"24CW-135"</f>
        <v>24CW-135</v>
      </c>
      <c r="D643" t="s">
        <v>669</v>
      </c>
      <c r="E643" t="s">
        <v>4</v>
      </c>
      <c r="F643">
        <v>7.5</v>
      </c>
      <c r="G643">
        <v>1.25</v>
      </c>
      <c r="H643" t="s">
        <v>20</v>
      </c>
      <c r="I643" s="1">
        <v>9.11</v>
      </c>
      <c r="J643" s="1">
        <v>8.6300000000000008</v>
      </c>
      <c r="K643" t="s">
        <v>457</v>
      </c>
      <c r="L643" s="1">
        <v>9.5</v>
      </c>
    </row>
    <row r="644" spans="1:12">
      <c r="A644" t="s">
        <v>567</v>
      </c>
      <c r="B644">
        <v>380139</v>
      </c>
      <c r="C644" s="2" t="str">
        <f>"24HP-150"</f>
        <v>24HP-150</v>
      </c>
      <c r="D644" t="s">
        <v>670</v>
      </c>
      <c r="E644" t="s">
        <v>4</v>
      </c>
      <c r="F644">
        <v>8.76</v>
      </c>
      <c r="G644">
        <v>1.46</v>
      </c>
      <c r="H644" t="s">
        <v>20</v>
      </c>
      <c r="I644" s="1">
        <v>20.28</v>
      </c>
      <c r="J644" s="1">
        <v>19.21</v>
      </c>
      <c r="K644" t="s">
        <v>457</v>
      </c>
      <c r="L644" s="1">
        <v>21.14</v>
      </c>
    </row>
    <row r="645" spans="1:12">
      <c r="A645" t="s">
        <v>567</v>
      </c>
      <c r="B645">
        <v>484632</v>
      </c>
      <c r="C645" s="2" t="str">
        <f>"24LPCW-110"</f>
        <v>24LPCW-110</v>
      </c>
      <c r="D645" t="s">
        <v>671</v>
      </c>
      <c r="E645" t="s">
        <v>4</v>
      </c>
      <c r="F645">
        <v>7.98</v>
      </c>
      <c r="G645">
        <v>1.33</v>
      </c>
      <c r="H645" t="s">
        <v>20</v>
      </c>
      <c r="I645" s="1">
        <v>12.47</v>
      </c>
      <c r="J645" s="1">
        <v>11.82</v>
      </c>
      <c r="K645" t="s">
        <v>21</v>
      </c>
      <c r="L645" s="1">
        <v>13</v>
      </c>
    </row>
    <row r="646" spans="1:12">
      <c r="A646" t="s">
        <v>567</v>
      </c>
      <c r="B646">
        <v>423325</v>
      </c>
      <c r="C646" s="2" t="str">
        <f>"24PP190"</f>
        <v>24PP190</v>
      </c>
      <c r="D646" t="s">
        <v>672</v>
      </c>
      <c r="E646" t="s">
        <v>4</v>
      </c>
      <c r="F646">
        <v>4.9800000000000004</v>
      </c>
      <c r="G646">
        <v>0.83</v>
      </c>
      <c r="H646" t="s">
        <v>20</v>
      </c>
      <c r="I646" s="1">
        <v>5.95</v>
      </c>
      <c r="J646" s="1">
        <v>5.64</v>
      </c>
      <c r="K646" t="s">
        <v>457</v>
      </c>
      <c r="L646" s="1">
        <v>6.21</v>
      </c>
    </row>
    <row r="647" spans="1:12">
      <c r="A647" t="s">
        <v>567</v>
      </c>
      <c r="B647">
        <v>398914</v>
      </c>
      <c r="C647" s="2" t="str">
        <f>"250LCD-110"</f>
        <v>250LCD-110</v>
      </c>
      <c r="D647" t="s">
        <v>673</v>
      </c>
      <c r="E647" t="s">
        <v>4</v>
      </c>
      <c r="F647">
        <v>12.75</v>
      </c>
      <c r="H647" t="s">
        <v>5</v>
      </c>
      <c r="I647" s="1">
        <v>142.03</v>
      </c>
      <c r="J647" s="1">
        <v>134.55000000000001</v>
      </c>
      <c r="K647" t="s">
        <v>6</v>
      </c>
    </row>
    <row r="648" spans="1:12">
      <c r="A648" t="s">
        <v>567</v>
      </c>
      <c r="B648">
        <v>369836</v>
      </c>
      <c r="C648" s="2" t="str">
        <f>"250LCD-131"</f>
        <v>250LCD-131</v>
      </c>
      <c r="D648" t="s">
        <v>674</v>
      </c>
      <c r="E648" t="s">
        <v>4</v>
      </c>
      <c r="F648">
        <v>12.75</v>
      </c>
      <c r="H648" t="s">
        <v>5</v>
      </c>
      <c r="I648" s="1">
        <v>142.03</v>
      </c>
      <c r="J648" s="1">
        <v>134.55000000000001</v>
      </c>
      <c r="K648" t="s">
        <v>6</v>
      </c>
    </row>
    <row r="649" spans="1:12">
      <c r="A649" t="s">
        <v>567</v>
      </c>
      <c r="B649">
        <v>459601</v>
      </c>
      <c r="C649" s="2" t="str">
        <f>"25CLRCW135"</f>
        <v>25CLRCW135</v>
      </c>
      <c r="D649" t="s">
        <v>675</v>
      </c>
      <c r="E649" t="s">
        <v>4</v>
      </c>
      <c r="F649">
        <v>8.2799999999999994</v>
      </c>
      <c r="G649">
        <v>1.38</v>
      </c>
      <c r="H649" t="s">
        <v>20</v>
      </c>
      <c r="I649" s="1">
        <v>11.7</v>
      </c>
      <c r="J649" s="1">
        <v>11.09</v>
      </c>
      <c r="K649" t="s">
        <v>457</v>
      </c>
      <c r="L649" s="1">
        <v>12.2</v>
      </c>
    </row>
    <row r="650" spans="1:12">
      <c r="A650" t="s">
        <v>567</v>
      </c>
      <c r="B650">
        <v>380140</v>
      </c>
      <c r="C650" s="2" t="str">
        <f>"25MCCW-135"</f>
        <v>25MCCW-135</v>
      </c>
      <c r="D650" t="s">
        <v>676</v>
      </c>
      <c r="E650" t="s">
        <v>4</v>
      </c>
      <c r="F650">
        <v>1.8</v>
      </c>
      <c r="G650">
        <v>0.15</v>
      </c>
      <c r="H650" t="s">
        <v>106</v>
      </c>
      <c r="I650" s="1">
        <v>4.04</v>
      </c>
      <c r="J650" s="1">
        <v>3.84</v>
      </c>
      <c r="K650" t="s">
        <v>457</v>
      </c>
      <c r="L650" s="1">
        <v>4.22</v>
      </c>
    </row>
    <row r="651" spans="1:12">
      <c r="A651" t="s">
        <v>567</v>
      </c>
      <c r="B651">
        <v>458674</v>
      </c>
      <c r="C651" s="2" t="str">
        <f>"25S418-151"</f>
        <v>25S418-151</v>
      </c>
      <c r="D651" t="s">
        <v>677</v>
      </c>
      <c r="E651" t="s">
        <v>4</v>
      </c>
      <c r="F651">
        <v>30</v>
      </c>
      <c r="G651">
        <v>6</v>
      </c>
      <c r="H651" t="s">
        <v>151</v>
      </c>
      <c r="I651" s="1">
        <v>34.49</v>
      </c>
      <c r="J651" s="1">
        <v>32.67</v>
      </c>
      <c r="K651" t="s">
        <v>457</v>
      </c>
      <c r="L651" s="1">
        <v>35.94</v>
      </c>
    </row>
    <row r="652" spans="1:12">
      <c r="A652" t="s">
        <v>567</v>
      </c>
      <c r="B652">
        <v>458151</v>
      </c>
      <c r="C652" s="2" t="str">
        <f>"25S534-151"</f>
        <v>25S534-151</v>
      </c>
      <c r="D652" t="s">
        <v>678</v>
      </c>
      <c r="E652" t="s">
        <v>4</v>
      </c>
      <c r="F652">
        <v>32</v>
      </c>
      <c r="G652">
        <v>8</v>
      </c>
      <c r="H652" t="s">
        <v>153</v>
      </c>
      <c r="I652" s="1">
        <v>44.37</v>
      </c>
      <c r="J652" s="1">
        <v>42.03</v>
      </c>
      <c r="K652" t="s">
        <v>457</v>
      </c>
      <c r="L652" s="1">
        <v>46.23</v>
      </c>
    </row>
    <row r="653" spans="1:12">
      <c r="A653" t="s">
        <v>567</v>
      </c>
      <c r="B653">
        <v>432227</v>
      </c>
      <c r="C653" s="2" t="str">
        <f>"25S738151"</f>
        <v>25S738151</v>
      </c>
      <c r="D653" t="s">
        <v>679</v>
      </c>
      <c r="E653" t="s">
        <v>4</v>
      </c>
      <c r="F653">
        <v>30</v>
      </c>
      <c r="G653">
        <v>10</v>
      </c>
      <c r="H653" t="s">
        <v>189</v>
      </c>
      <c r="I653" s="1">
        <v>54.74</v>
      </c>
      <c r="J653" s="1">
        <v>51.86</v>
      </c>
      <c r="K653" t="s">
        <v>457</v>
      </c>
      <c r="L653" s="1">
        <v>57.04</v>
      </c>
    </row>
    <row r="654" spans="1:12">
      <c r="A654" t="s">
        <v>567</v>
      </c>
      <c r="B654">
        <v>458967</v>
      </c>
      <c r="C654" s="2" t="str">
        <f>"26CF-110"</f>
        <v>26CF-110</v>
      </c>
      <c r="D654" t="s">
        <v>680</v>
      </c>
      <c r="E654" t="s">
        <v>4</v>
      </c>
      <c r="F654">
        <v>8.25</v>
      </c>
      <c r="H654" t="s">
        <v>5</v>
      </c>
      <c r="I654" s="1">
        <v>35.54</v>
      </c>
      <c r="J654" s="1">
        <v>33.67</v>
      </c>
      <c r="K654" t="s">
        <v>6</v>
      </c>
    </row>
    <row r="655" spans="1:12">
      <c r="A655" t="s">
        <v>567</v>
      </c>
      <c r="B655">
        <v>431296</v>
      </c>
      <c r="C655" s="2" t="str">
        <f>"26CF-148"</f>
        <v>26CF-148</v>
      </c>
      <c r="D655" t="s">
        <v>681</v>
      </c>
      <c r="E655" t="s">
        <v>4</v>
      </c>
      <c r="F655">
        <v>8.25</v>
      </c>
      <c r="H655" t="s">
        <v>5</v>
      </c>
      <c r="I655" s="1">
        <v>35.54</v>
      </c>
      <c r="J655" s="1">
        <v>33.67</v>
      </c>
      <c r="K655" t="s">
        <v>6</v>
      </c>
    </row>
    <row r="656" spans="1:12">
      <c r="A656" t="s">
        <v>567</v>
      </c>
      <c r="B656">
        <v>431265</v>
      </c>
      <c r="C656" s="2" t="str">
        <f>"26CW-110"</f>
        <v>26CW-110</v>
      </c>
      <c r="D656" t="s">
        <v>682</v>
      </c>
      <c r="E656" t="s">
        <v>4</v>
      </c>
      <c r="F656">
        <v>10.26</v>
      </c>
      <c r="G656">
        <v>1.71</v>
      </c>
      <c r="H656" t="s">
        <v>20</v>
      </c>
      <c r="I656" s="1">
        <v>11.7</v>
      </c>
      <c r="J656" s="1">
        <v>11.09</v>
      </c>
      <c r="K656" t="s">
        <v>457</v>
      </c>
      <c r="L656" s="1">
        <v>12.2</v>
      </c>
    </row>
    <row r="657" spans="1:12">
      <c r="A657" t="s">
        <v>567</v>
      </c>
      <c r="B657">
        <v>380141</v>
      </c>
      <c r="C657" s="2" t="str">
        <f>"26CW-135"</f>
        <v>26CW-135</v>
      </c>
      <c r="D657" t="s">
        <v>683</v>
      </c>
      <c r="E657" t="s">
        <v>4</v>
      </c>
      <c r="F657">
        <v>10.26</v>
      </c>
      <c r="G657">
        <v>1.71</v>
      </c>
      <c r="H657" t="s">
        <v>20</v>
      </c>
      <c r="I657" s="1">
        <v>11.7</v>
      </c>
      <c r="J657" s="1">
        <v>11.09</v>
      </c>
      <c r="K657" t="s">
        <v>457</v>
      </c>
      <c r="L657" s="1">
        <v>12.2</v>
      </c>
    </row>
    <row r="658" spans="1:12">
      <c r="A658" t="s">
        <v>567</v>
      </c>
      <c r="B658">
        <v>423326</v>
      </c>
      <c r="C658" s="2" t="str">
        <f>"26PP-190"</f>
        <v>26PP-190</v>
      </c>
      <c r="D658" t="s">
        <v>684</v>
      </c>
      <c r="E658" t="s">
        <v>4</v>
      </c>
      <c r="F658">
        <v>6.24</v>
      </c>
      <c r="G658">
        <v>1.04</v>
      </c>
      <c r="H658" t="s">
        <v>20</v>
      </c>
      <c r="I658" s="1">
        <v>7.75</v>
      </c>
      <c r="J658" s="1">
        <v>7.35</v>
      </c>
      <c r="K658" t="s">
        <v>457</v>
      </c>
      <c r="L658" s="1">
        <v>8.08</v>
      </c>
    </row>
    <row r="659" spans="1:12">
      <c r="A659" t="s">
        <v>567</v>
      </c>
      <c r="B659">
        <v>398323</v>
      </c>
      <c r="C659" s="2" t="str">
        <f>"2700CT-110"</f>
        <v>2700CT-110</v>
      </c>
      <c r="D659" t="s">
        <v>685</v>
      </c>
      <c r="E659" t="s">
        <v>4</v>
      </c>
      <c r="F659">
        <v>22.98</v>
      </c>
      <c r="G659">
        <v>3.83</v>
      </c>
      <c r="H659" t="s">
        <v>20</v>
      </c>
      <c r="I659" s="1">
        <v>41.28</v>
      </c>
      <c r="J659" s="1">
        <v>39.1</v>
      </c>
      <c r="K659" t="s">
        <v>457</v>
      </c>
      <c r="L659" s="1">
        <v>43.01</v>
      </c>
    </row>
    <row r="660" spans="1:12">
      <c r="A660" t="s">
        <v>567</v>
      </c>
      <c r="B660">
        <v>380324</v>
      </c>
      <c r="C660" s="2" t="str">
        <f>"2700CT-138"</f>
        <v>2700CT-138</v>
      </c>
      <c r="D660" t="s">
        <v>686</v>
      </c>
      <c r="E660" t="s">
        <v>4</v>
      </c>
      <c r="F660">
        <v>22.98</v>
      </c>
      <c r="G660">
        <v>3.83</v>
      </c>
      <c r="H660" t="s">
        <v>20</v>
      </c>
      <c r="I660" s="1">
        <v>41.28</v>
      </c>
      <c r="J660" s="1">
        <v>39.1</v>
      </c>
      <c r="K660" t="s">
        <v>457</v>
      </c>
      <c r="L660" s="1">
        <v>43.01</v>
      </c>
    </row>
    <row r="661" spans="1:12">
      <c r="A661" t="s">
        <v>567</v>
      </c>
      <c r="B661">
        <v>380331</v>
      </c>
      <c r="C661" s="2" t="str">
        <f>"2SFSCW-135"</f>
        <v>2SFSCW-135</v>
      </c>
      <c r="D661" t="s">
        <v>687</v>
      </c>
      <c r="E661" t="s">
        <v>4</v>
      </c>
      <c r="F661">
        <v>4.0199999999999996</v>
      </c>
      <c r="G661">
        <v>0.67</v>
      </c>
      <c r="H661" t="s">
        <v>20</v>
      </c>
      <c r="I661" s="1">
        <v>5.28</v>
      </c>
      <c r="J661" s="1">
        <v>5.01</v>
      </c>
      <c r="K661" t="s">
        <v>457</v>
      </c>
      <c r="L661" s="1">
        <v>5.51</v>
      </c>
    </row>
    <row r="662" spans="1:12">
      <c r="A662" t="s">
        <v>567</v>
      </c>
      <c r="B662">
        <v>380335</v>
      </c>
      <c r="C662" s="2" t="str">
        <f>"2SFSP-148"</f>
        <v>2SFSP-148</v>
      </c>
      <c r="D662" t="s">
        <v>688</v>
      </c>
      <c r="E662" t="s">
        <v>4</v>
      </c>
      <c r="F662">
        <v>3.24</v>
      </c>
      <c r="G662">
        <v>0.54</v>
      </c>
      <c r="H662" t="s">
        <v>20</v>
      </c>
      <c r="I662" s="1">
        <v>3.93</v>
      </c>
      <c r="J662" s="1">
        <v>3.72</v>
      </c>
      <c r="K662" t="s">
        <v>457</v>
      </c>
      <c r="L662" s="1">
        <v>4.09</v>
      </c>
    </row>
    <row r="663" spans="1:12">
      <c r="A663" t="s">
        <v>567</v>
      </c>
      <c r="B663">
        <v>472120</v>
      </c>
      <c r="C663" s="2" t="str">
        <f>"2SFSPPSW3190"</f>
        <v>2SFSPPSW3190</v>
      </c>
      <c r="D663" t="s">
        <v>689</v>
      </c>
      <c r="E663" t="s">
        <v>4</v>
      </c>
      <c r="F663">
        <v>8</v>
      </c>
      <c r="H663" t="s">
        <v>5</v>
      </c>
      <c r="I663" s="1">
        <v>82.63</v>
      </c>
      <c r="J663" s="1">
        <v>78.27</v>
      </c>
      <c r="K663" t="s">
        <v>6</v>
      </c>
    </row>
    <row r="664" spans="1:12">
      <c r="A664" t="s">
        <v>567</v>
      </c>
      <c r="B664">
        <v>431125</v>
      </c>
      <c r="C664" s="2" t="str">
        <f>"300MPC-110"</f>
        <v>300MPC-110</v>
      </c>
      <c r="D664" t="s">
        <v>690</v>
      </c>
      <c r="E664" t="s">
        <v>4</v>
      </c>
      <c r="F664">
        <v>31.5</v>
      </c>
      <c r="H664" t="s">
        <v>5</v>
      </c>
      <c r="I664" s="1">
        <v>296.39999999999998</v>
      </c>
      <c r="J664" s="1">
        <v>280.8</v>
      </c>
      <c r="K664" t="s">
        <v>6</v>
      </c>
    </row>
    <row r="665" spans="1:12">
      <c r="A665" t="s">
        <v>567</v>
      </c>
      <c r="B665">
        <v>369885</v>
      </c>
      <c r="C665" s="2" t="str">
        <f>"300MPC-131"</f>
        <v>300MPC-131</v>
      </c>
      <c r="D665" t="s">
        <v>691</v>
      </c>
      <c r="E665" t="s">
        <v>4</v>
      </c>
      <c r="F665">
        <v>31.5</v>
      </c>
      <c r="H665" t="s">
        <v>5</v>
      </c>
      <c r="I665" s="1">
        <v>296.39999999999998</v>
      </c>
      <c r="J665" s="1">
        <v>280.8</v>
      </c>
      <c r="K665" t="s">
        <v>6</v>
      </c>
    </row>
    <row r="666" spans="1:12">
      <c r="A666" t="s">
        <v>567</v>
      </c>
      <c r="B666">
        <v>432146</v>
      </c>
      <c r="C666" s="2" t="str">
        <f>"30CFC135"</f>
        <v>30CFC135</v>
      </c>
      <c r="D666" t="s">
        <v>692</v>
      </c>
      <c r="E666" t="s">
        <v>4</v>
      </c>
      <c r="F666">
        <v>1</v>
      </c>
      <c r="H666" t="s">
        <v>5</v>
      </c>
      <c r="I666" s="1">
        <v>15</v>
      </c>
      <c r="J666" s="1">
        <v>14.22</v>
      </c>
      <c r="K666" t="s">
        <v>6</v>
      </c>
    </row>
    <row r="667" spans="1:12">
      <c r="A667" t="s">
        <v>567</v>
      </c>
      <c r="B667">
        <v>380339</v>
      </c>
      <c r="C667" s="2" t="str">
        <f>"30CWC-135"</f>
        <v>30CWC-135</v>
      </c>
      <c r="D667" t="s">
        <v>693</v>
      </c>
      <c r="E667" t="s">
        <v>4</v>
      </c>
      <c r="F667">
        <v>3</v>
      </c>
      <c r="G667">
        <v>0.5</v>
      </c>
      <c r="H667" t="s">
        <v>20</v>
      </c>
      <c r="I667" s="1">
        <v>4.26</v>
      </c>
      <c r="J667" s="1">
        <v>4.04</v>
      </c>
      <c r="K667" t="s">
        <v>457</v>
      </c>
      <c r="L667" s="1">
        <v>4.45</v>
      </c>
    </row>
    <row r="668" spans="1:12">
      <c r="A668" t="s">
        <v>567</v>
      </c>
      <c r="B668">
        <v>380342</v>
      </c>
      <c r="C668" s="2" t="str">
        <f>"30CWCH-135"</f>
        <v>30CWCH-135</v>
      </c>
      <c r="D668" t="s">
        <v>694</v>
      </c>
      <c r="E668" t="s">
        <v>4</v>
      </c>
      <c r="F668">
        <v>3</v>
      </c>
      <c r="G668">
        <v>0.5</v>
      </c>
      <c r="H668" t="s">
        <v>20</v>
      </c>
      <c r="I668" s="1">
        <v>4.26</v>
      </c>
      <c r="J668" s="1">
        <v>4.04</v>
      </c>
      <c r="K668" t="s">
        <v>457</v>
      </c>
      <c r="L668" s="1">
        <v>4.45</v>
      </c>
    </row>
    <row r="669" spans="1:12">
      <c r="A669" t="s">
        <v>567</v>
      </c>
      <c r="B669">
        <v>431274</v>
      </c>
      <c r="C669" s="2" t="str">
        <f>"30CWCHN-135"</f>
        <v>30CWCHN-135</v>
      </c>
      <c r="D669" t="s">
        <v>695</v>
      </c>
      <c r="E669" t="s">
        <v>4</v>
      </c>
      <c r="F669">
        <v>3</v>
      </c>
      <c r="G669">
        <v>0.5</v>
      </c>
      <c r="H669" t="s">
        <v>20</v>
      </c>
      <c r="I669" s="1">
        <v>5.8</v>
      </c>
      <c r="J669" s="1">
        <v>5.5</v>
      </c>
      <c r="K669" t="s">
        <v>457</v>
      </c>
      <c r="L669" s="1">
        <v>6.05</v>
      </c>
    </row>
    <row r="670" spans="1:12">
      <c r="A670" t="s">
        <v>567</v>
      </c>
      <c r="B670">
        <v>431272</v>
      </c>
      <c r="C670" s="2" t="str">
        <f>"30CWD-135"</f>
        <v>30CWD-135</v>
      </c>
      <c r="D670" t="s">
        <v>696</v>
      </c>
      <c r="E670" t="s">
        <v>4</v>
      </c>
      <c r="F670">
        <v>1.5</v>
      </c>
      <c r="G670">
        <v>0.25</v>
      </c>
      <c r="H670" t="s">
        <v>20</v>
      </c>
      <c r="I670" s="1">
        <v>4.1100000000000003</v>
      </c>
      <c r="J670" s="1">
        <v>3.89</v>
      </c>
      <c r="K670" t="s">
        <v>457</v>
      </c>
      <c r="L670" s="1">
        <v>4.28</v>
      </c>
    </row>
    <row r="671" spans="1:12">
      <c r="A671" t="s">
        <v>567</v>
      </c>
      <c r="B671">
        <v>382391</v>
      </c>
      <c r="C671" s="2" t="str">
        <f>"30CWLN-135"</f>
        <v>30CWLN-135</v>
      </c>
      <c r="D671" t="s">
        <v>697</v>
      </c>
      <c r="E671" t="s">
        <v>4</v>
      </c>
      <c r="F671">
        <v>3.48</v>
      </c>
      <c r="G671">
        <v>0.57999999999999996</v>
      </c>
      <c r="H671" t="s">
        <v>20</v>
      </c>
      <c r="I671" s="1">
        <v>7.84</v>
      </c>
      <c r="J671" s="1">
        <v>7.44</v>
      </c>
      <c r="K671" t="s">
        <v>457</v>
      </c>
      <c r="L671" s="1">
        <v>8.18</v>
      </c>
    </row>
    <row r="672" spans="1:12">
      <c r="A672" t="s">
        <v>567</v>
      </c>
      <c r="B672">
        <v>380357</v>
      </c>
      <c r="C672" s="2" t="str">
        <f>"30HPCH-150"</f>
        <v>30HPCH-150</v>
      </c>
      <c r="D672" t="s">
        <v>698</v>
      </c>
      <c r="E672" t="s">
        <v>4</v>
      </c>
      <c r="F672">
        <v>3.24</v>
      </c>
      <c r="G672">
        <v>0.54</v>
      </c>
      <c r="H672" t="s">
        <v>20</v>
      </c>
      <c r="I672" s="1">
        <v>10.31</v>
      </c>
      <c r="J672" s="1">
        <v>9.7799999999999994</v>
      </c>
      <c r="K672" t="s">
        <v>457</v>
      </c>
      <c r="L672" s="1">
        <v>10.75</v>
      </c>
    </row>
    <row r="673" spans="1:12">
      <c r="A673" t="s">
        <v>567</v>
      </c>
      <c r="B673">
        <v>382402</v>
      </c>
      <c r="C673" s="2" t="str">
        <f>"30HPLN-150"</f>
        <v>30HPLN-150</v>
      </c>
      <c r="D673" t="s">
        <v>699</v>
      </c>
      <c r="E673" t="s">
        <v>4</v>
      </c>
      <c r="F673">
        <v>3.48</v>
      </c>
      <c r="G673">
        <v>0.57999999999999996</v>
      </c>
      <c r="H673" t="s">
        <v>20</v>
      </c>
      <c r="I673" s="1">
        <v>15.38</v>
      </c>
      <c r="J673" s="1">
        <v>14.56</v>
      </c>
      <c r="K673" t="s">
        <v>457</v>
      </c>
      <c r="L673" s="1">
        <v>16.02</v>
      </c>
    </row>
    <row r="674" spans="1:12">
      <c r="A674" t="s">
        <v>567</v>
      </c>
      <c r="B674">
        <v>423337</v>
      </c>
      <c r="C674" s="2" t="str">
        <f>"30PPCH-190"</f>
        <v>30PPCH-190</v>
      </c>
      <c r="D674" t="s">
        <v>700</v>
      </c>
      <c r="E674" t="s">
        <v>4</v>
      </c>
      <c r="F674">
        <v>1.08</v>
      </c>
      <c r="G674">
        <v>0.18</v>
      </c>
      <c r="H674" t="s">
        <v>20</v>
      </c>
      <c r="I674" s="1">
        <v>3.48</v>
      </c>
      <c r="J674" s="1">
        <v>3.3</v>
      </c>
      <c r="K674" t="s">
        <v>457</v>
      </c>
      <c r="L674" s="1">
        <v>3.63</v>
      </c>
    </row>
    <row r="675" spans="1:12">
      <c r="A675" t="s">
        <v>567</v>
      </c>
      <c r="B675">
        <v>393083</v>
      </c>
      <c r="C675" s="2" t="str">
        <f>"30SC148"</f>
        <v>30SC148</v>
      </c>
      <c r="D675" t="s">
        <v>701</v>
      </c>
      <c r="E675" t="s">
        <v>4</v>
      </c>
      <c r="F675">
        <v>1.98</v>
      </c>
      <c r="G675">
        <v>0.33</v>
      </c>
      <c r="H675" t="s">
        <v>20</v>
      </c>
      <c r="I675" s="1">
        <v>2.94</v>
      </c>
      <c r="J675" s="1">
        <v>2.78</v>
      </c>
      <c r="K675" t="s">
        <v>457</v>
      </c>
      <c r="L675" s="1">
        <v>3.06</v>
      </c>
    </row>
    <row r="676" spans="1:12">
      <c r="A676" t="s">
        <v>567</v>
      </c>
      <c r="B676">
        <v>371389</v>
      </c>
      <c r="C676" s="2" t="str">
        <f>"3200P2-152"</f>
        <v>3200P2-152</v>
      </c>
      <c r="D676" t="s">
        <v>702</v>
      </c>
      <c r="E676" t="s">
        <v>4</v>
      </c>
      <c r="F676">
        <v>8.25</v>
      </c>
      <c r="H676" t="s">
        <v>5</v>
      </c>
      <c r="I676" s="1">
        <v>53.21</v>
      </c>
      <c r="J676" s="1">
        <v>50.4</v>
      </c>
      <c r="K676" t="s">
        <v>6</v>
      </c>
    </row>
    <row r="677" spans="1:12">
      <c r="A677" t="s">
        <v>567</v>
      </c>
      <c r="B677">
        <v>368024</v>
      </c>
      <c r="C677" s="2" t="str">
        <f>"3200P2-153"</f>
        <v>3200P2-153</v>
      </c>
      <c r="D677" t="s">
        <v>703</v>
      </c>
      <c r="E677" t="s">
        <v>4</v>
      </c>
      <c r="F677">
        <v>8.25</v>
      </c>
      <c r="H677" t="s">
        <v>5</v>
      </c>
      <c r="I677" s="1">
        <v>53.21</v>
      </c>
      <c r="J677" s="1">
        <v>50.4</v>
      </c>
      <c r="K677" t="s">
        <v>6</v>
      </c>
    </row>
    <row r="678" spans="1:12">
      <c r="A678" t="s">
        <v>567</v>
      </c>
      <c r="B678">
        <v>390412</v>
      </c>
      <c r="C678" s="2" t="str">
        <f>"3200P2-156"</f>
        <v>3200P2-156</v>
      </c>
      <c r="D678" t="s">
        <v>704</v>
      </c>
      <c r="E678" t="s">
        <v>4</v>
      </c>
      <c r="F678">
        <v>8.25</v>
      </c>
      <c r="H678" t="s">
        <v>5</v>
      </c>
      <c r="I678" s="1">
        <v>53.21</v>
      </c>
      <c r="J678" s="1">
        <v>50.4</v>
      </c>
      <c r="K678" t="s">
        <v>6</v>
      </c>
    </row>
    <row r="679" spans="1:12">
      <c r="A679" t="s">
        <v>567</v>
      </c>
      <c r="B679">
        <v>380368</v>
      </c>
      <c r="C679" s="2" t="str">
        <f>"32CW-135"</f>
        <v>32CW-135</v>
      </c>
      <c r="D679" t="s">
        <v>705</v>
      </c>
      <c r="E679" t="s">
        <v>4</v>
      </c>
      <c r="F679">
        <v>4.5</v>
      </c>
      <c r="G679">
        <v>0.75</v>
      </c>
      <c r="H679" t="s">
        <v>20</v>
      </c>
      <c r="I679" s="1">
        <v>5.5</v>
      </c>
      <c r="J679" s="1">
        <v>5.2</v>
      </c>
      <c r="K679" t="s">
        <v>457</v>
      </c>
      <c r="L679" s="1">
        <v>5.72</v>
      </c>
    </row>
    <row r="680" spans="1:12">
      <c r="A680" t="s">
        <v>567</v>
      </c>
      <c r="B680">
        <v>431269</v>
      </c>
      <c r="C680" s="2" t="str">
        <f>"34CW-110"</f>
        <v>34CW-110</v>
      </c>
      <c r="D680" t="s">
        <v>706</v>
      </c>
      <c r="E680" t="s">
        <v>4</v>
      </c>
      <c r="F680">
        <v>5.52</v>
      </c>
      <c r="G680">
        <v>0.92</v>
      </c>
      <c r="H680" t="s">
        <v>20</v>
      </c>
      <c r="I680" s="1">
        <v>7.57</v>
      </c>
      <c r="J680" s="1">
        <v>7.16</v>
      </c>
      <c r="K680" t="s">
        <v>457</v>
      </c>
      <c r="L680" s="1">
        <v>7.88</v>
      </c>
    </row>
    <row r="681" spans="1:12">
      <c r="A681" t="s">
        <v>567</v>
      </c>
      <c r="B681">
        <v>380373</v>
      </c>
      <c r="C681" s="2" t="str">
        <f>"34CW-135"</f>
        <v>34CW-135</v>
      </c>
      <c r="D681" t="s">
        <v>707</v>
      </c>
      <c r="E681" t="s">
        <v>4</v>
      </c>
      <c r="F681">
        <v>5.52</v>
      </c>
      <c r="G681">
        <v>0.92</v>
      </c>
      <c r="H681" t="s">
        <v>20</v>
      </c>
      <c r="I681" s="1">
        <v>7.57</v>
      </c>
      <c r="J681" s="1">
        <v>7.16</v>
      </c>
      <c r="K681" t="s">
        <v>457</v>
      </c>
      <c r="L681" s="1">
        <v>7.88</v>
      </c>
    </row>
    <row r="682" spans="1:12">
      <c r="A682" t="s">
        <v>567</v>
      </c>
      <c r="B682">
        <v>380375</v>
      </c>
      <c r="C682" s="2" t="str">
        <f>"34HP-150"</f>
        <v>34HP-150</v>
      </c>
      <c r="D682" t="s">
        <v>708</v>
      </c>
      <c r="E682" t="s">
        <v>4</v>
      </c>
      <c r="F682">
        <v>6.24</v>
      </c>
      <c r="G682">
        <v>1.04</v>
      </c>
      <c r="H682" t="s">
        <v>20</v>
      </c>
      <c r="I682" s="1">
        <v>16.91</v>
      </c>
      <c r="J682" s="1">
        <v>16.03</v>
      </c>
      <c r="K682" t="s">
        <v>457</v>
      </c>
      <c r="L682" s="1">
        <v>17.63</v>
      </c>
    </row>
    <row r="683" spans="1:12">
      <c r="A683" t="s">
        <v>567</v>
      </c>
      <c r="B683">
        <v>423327</v>
      </c>
      <c r="C683" s="2" t="str">
        <f>"34PP-190"</f>
        <v>34PP-190</v>
      </c>
      <c r="D683" t="s">
        <v>709</v>
      </c>
      <c r="E683" t="s">
        <v>4</v>
      </c>
      <c r="F683">
        <v>4.26</v>
      </c>
      <c r="G683">
        <v>0.71</v>
      </c>
      <c r="H683" t="s">
        <v>20</v>
      </c>
      <c r="I683" s="1">
        <v>4.9400000000000004</v>
      </c>
      <c r="J683" s="1">
        <v>4.68</v>
      </c>
      <c r="K683" t="s">
        <v>457</v>
      </c>
      <c r="L683" s="1">
        <v>5.15</v>
      </c>
    </row>
    <row r="684" spans="1:12">
      <c r="A684" t="s">
        <v>567</v>
      </c>
      <c r="B684">
        <v>442083</v>
      </c>
      <c r="C684" s="2" t="str">
        <f>"350LCD131"</f>
        <v>350LCD131</v>
      </c>
      <c r="D684" t="s">
        <v>710</v>
      </c>
      <c r="E684" t="s">
        <v>4</v>
      </c>
      <c r="F684">
        <v>13.25</v>
      </c>
      <c r="H684" t="s">
        <v>5</v>
      </c>
      <c r="I684" s="1">
        <v>138.94</v>
      </c>
      <c r="J684" s="1">
        <v>131.63</v>
      </c>
      <c r="K684" t="s">
        <v>6</v>
      </c>
    </row>
    <row r="685" spans="1:12">
      <c r="A685" t="s">
        <v>567</v>
      </c>
      <c r="B685">
        <v>459603</v>
      </c>
      <c r="C685" s="2" t="str">
        <f>"35CLRCW135"</f>
        <v>35CLRCW135</v>
      </c>
      <c r="D685" t="s">
        <v>711</v>
      </c>
      <c r="E685" t="s">
        <v>4</v>
      </c>
      <c r="F685">
        <v>6.24</v>
      </c>
      <c r="G685">
        <v>1.04</v>
      </c>
      <c r="H685" t="s">
        <v>20</v>
      </c>
      <c r="I685" s="1">
        <v>8.83</v>
      </c>
      <c r="J685" s="1">
        <v>8.3699999999999992</v>
      </c>
      <c r="K685" t="s">
        <v>457</v>
      </c>
      <c r="L685" s="1">
        <v>9.2100000000000009</v>
      </c>
    </row>
    <row r="686" spans="1:12">
      <c r="A686" t="s">
        <v>567</v>
      </c>
      <c r="B686">
        <v>431350</v>
      </c>
      <c r="C686" s="2" t="str">
        <f>"36CF-148"</f>
        <v>36CF-148</v>
      </c>
      <c r="D686" t="s">
        <v>712</v>
      </c>
      <c r="E686" t="s">
        <v>4</v>
      </c>
      <c r="F686">
        <v>5.75</v>
      </c>
      <c r="H686" t="s">
        <v>5</v>
      </c>
      <c r="I686" s="1">
        <v>26.7</v>
      </c>
      <c r="J686" s="1">
        <v>25.3</v>
      </c>
      <c r="K686" t="s">
        <v>6</v>
      </c>
    </row>
    <row r="687" spans="1:12">
      <c r="A687" t="s">
        <v>567</v>
      </c>
      <c r="B687">
        <v>431270</v>
      </c>
      <c r="C687" s="2" t="str">
        <f>"36CW-110"</f>
        <v>36CW-110</v>
      </c>
      <c r="D687" t="s">
        <v>713</v>
      </c>
      <c r="E687" t="s">
        <v>4</v>
      </c>
      <c r="F687">
        <v>7.02</v>
      </c>
      <c r="G687">
        <v>1.17</v>
      </c>
      <c r="H687" t="s">
        <v>20</v>
      </c>
      <c r="I687" s="1">
        <v>8.83</v>
      </c>
      <c r="J687" s="1">
        <v>8.3699999999999992</v>
      </c>
      <c r="K687" t="s">
        <v>457</v>
      </c>
      <c r="L687" s="1">
        <v>9.2100000000000009</v>
      </c>
    </row>
    <row r="688" spans="1:12">
      <c r="A688" t="s">
        <v>567</v>
      </c>
      <c r="B688">
        <v>380377</v>
      </c>
      <c r="C688" s="2" t="str">
        <f>"36CW-135"</f>
        <v>36CW-135</v>
      </c>
      <c r="D688" t="s">
        <v>714</v>
      </c>
      <c r="E688" t="s">
        <v>4</v>
      </c>
      <c r="F688">
        <v>7.02</v>
      </c>
      <c r="G688">
        <v>1.17</v>
      </c>
      <c r="H688" t="s">
        <v>20</v>
      </c>
      <c r="I688" s="1">
        <v>8.83</v>
      </c>
      <c r="J688" s="1">
        <v>8.3699999999999992</v>
      </c>
      <c r="K688" t="s">
        <v>457</v>
      </c>
      <c r="L688" s="1">
        <v>9.2100000000000009</v>
      </c>
    </row>
    <row r="689" spans="1:12">
      <c r="A689" t="s">
        <v>567</v>
      </c>
      <c r="B689">
        <v>380381</v>
      </c>
      <c r="C689" s="2" t="str">
        <f>"36HP-150"</f>
        <v>36HP-150</v>
      </c>
      <c r="D689" t="s">
        <v>715</v>
      </c>
      <c r="E689" t="s">
        <v>4</v>
      </c>
      <c r="F689">
        <v>7.98</v>
      </c>
      <c r="G689">
        <v>1.33</v>
      </c>
      <c r="H689" t="s">
        <v>20</v>
      </c>
      <c r="I689" s="1">
        <v>23</v>
      </c>
      <c r="J689" s="1">
        <v>21.79</v>
      </c>
      <c r="K689" t="s">
        <v>457</v>
      </c>
      <c r="L689" s="1">
        <v>23.97</v>
      </c>
    </row>
    <row r="690" spans="1:12">
      <c r="A690" t="s">
        <v>567</v>
      </c>
      <c r="B690">
        <v>423329</v>
      </c>
      <c r="C690" s="2" t="str">
        <f>"36PP-190"</f>
        <v>36PP-190</v>
      </c>
      <c r="D690" t="s">
        <v>716</v>
      </c>
      <c r="E690" t="s">
        <v>4</v>
      </c>
      <c r="F690">
        <v>4.9800000000000004</v>
      </c>
      <c r="G690">
        <v>0.83</v>
      </c>
      <c r="H690" t="s">
        <v>20</v>
      </c>
      <c r="I690" s="1">
        <v>5.71</v>
      </c>
      <c r="J690" s="1">
        <v>5.41</v>
      </c>
      <c r="K690" t="s">
        <v>457</v>
      </c>
      <c r="L690" s="1">
        <v>5.95</v>
      </c>
    </row>
    <row r="691" spans="1:12">
      <c r="A691" t="s">
        <v>567</v>
      </c>
      <c r="B691">
        <v>458152</v>
      </c>
      <c r="C691" s="2" t="str">
        <f>"36S418-151"</f>
        <v>36S418-151</v>
      </c>
      <c r="D691" t="s">
        <v>717</v>
      </c>
      <c r="E691" t="s">
        <v>4</v>
      </c>
      <c r="F691">
        <v>32</v>
      </c>
      <c r="G691">
        <v>6.4</v>
      </c>
      <c r="H691" t="s">
        <v>151</v>
      </c>
      <c r="I691" s="1">
        <v>36</v>
      </c>
      <c r="J691" s="1">
        <v>34.11</v>
      </c>
      <c r="K691" t="s">
        <v>457</v>
      </c>
      <c r="L691" s="1">
        <v>37.520000000000003</v>
      </c>
    </row>
    <row r="692" spans="1:12">
      <c r="A692" t="s">
        <v>567</v>
      </c>
      <c r="B692">
        <v>458147</v>
      </c>
      <c r="C692" s="2" t="str">
        <f>"36S534-151"</f>
        <v>36S534-151</v>
      </c>
      <c r="D692" t="s">
        <v>718</v>
      </c>
      <c r="E692" t="s">
        <v>4</v>
      </c>
      <c r="F692">
        <v>34</v>
      </c>
      <c r="G692">
        <v>8.5</v>
      </c>
      <c r="H692" t="s">
        <v>153</v>
      </c>
      <c r="I692" s="1">
        <v>46.44</v>
      </c>
      <c r="J692" s="1">
        <v>43.99</v>
      </c>
      <c r="K692" t="s">
        <v>457</v>
      </c>
      <c r="L692" s="1">
        <v>48.39</v>
      </c>
    </row>
    <row r="693" spans="1:12">
      <c r="A693" t="s">
        <v>567</v>
      </c>
      <c r="B693">
        <v>368231</v>
      </c>
      <c r="C693" s="2" t="str">
        <f>"400MCCW-135"</f>
        <v>400MCCW-135</v>
      </c>
      <c r="D693" t="s">
        <v>719</v>
      </c>
      <c r="E693" t="s">
        <v>4</v>
      </c>
      <c r="F693">
        <v>1.5</v>
      </c>
      <c r="H693" t="s">
        <v>5</v>
      </c>
      <c r="I693" s="1">
        <v>12.66</v>
      </c>
      <c r="J693" s="1">
        <v>11.99</v>
      </c>
      <c r="K693" t="s">
        <v>6</v>
      </c>
    </row>
    <row r="694" spans="1:12">
      <c r="A694" t="s">
        <v>567</v>
      </c>
      <c r="B694">
        <v>380384</v>
      </c>
      <c r="C694" s="2" t="str">
        <f>"40CWCH-135"</f>
        <v>40CWCH-135</v>
      </c>
      <c r="D694" t="s">
        <v>720</v>
      </c>
      <c r="E694" t="s">
        <v>4</v>
      </c>
      <c r="F694">
        <v>2.2799999999999998</v>
      </c>
      <c r="G694">
        <v>0.38</v>
      </c>
      <c r="H694" t="s">
        <v>20</v>
      </c>
      <c r="I694" s="1">
        <v>3.86</v>
      </c>
      <c r="J694" s="1">
        <v>3.65</v>
      </c>
      <c r="K694" t="s">
        <v>457</v>
      </c>
      <c r="L694" s="1">
        <v>4.0199999999999996</v>
      </c>
    </row>
    <row r="695" spans="1:12">
      <c r="A695" t="s">
        <v>567</v>
      </c>
      <c r="B695">
        <v>399056</v>
      </c>
      <c r="C695" s="2" t="str">
        <f>"40CWD-135"</f>
        <v>40CWD-135</v>
      </c>
      <c r="D695" t="s">
        <v>721</v>
      </c>
      <c r="E695" t="s">
        <v>4</v>
      </c>
      <c r="F695">
        <v>1.5</v>
      </c>
      <c r="G695">
        <v>0.25</v>
      </c>
      <c r="H695" t="s">
        <v>20</v>
      </c>
      <c r="I695" s="1">
        <v>3.43</v>
      </c>
      <c r="J695" s="1">
        <v>3.25</v>
      </c>
      <c r="K695" t="s">
        <v>457</v>
      </c>
      <c r="L695" s="1">
        <v>3.58</v>
      </c>
    </row>
    <row r="696" spans="1:12">
      <c r="A696" t="s">
        <v>567</v>
      </c>
      <c r="B696">
        <v>431293</v>
      </c>
      <c r="C696" s="2" t="str">
        <f>"40PPSC-190"</f>
        <v>40PPSC-190</v>
      </c>
      <c r="D696" t="s">
        <v>722</v>
      </c>
      <c r="E696" t="s">
        <v>4</v>
      </c>
      <c r="F696">
        <v>1.74</v>
      </c>
      <c r="G696">
        <v>0.28999999999999998</v>
      </c>
      <c r="H696" t="s">
        <v>20</v>
      </c>
      <c r="I696" s="1">
        <v>3.24</v>
      </c>
      <c r="J696" s="1">
        <v>3.07</v>
      </c>
      <c r="K696" t="s">
        <v>457</v>
      </c>
      <c r="L696" s="1">
        <v>3.37</v>
      </c>
    </row>
    <row r="697" spans="1:12">
      <c r="A697" t="s">
        <v>567</v>
      </c>
      <c r="B697">
        <v>380395</v>
      </c>
      <c r="C697" s="2" t="str">
        <f>"42CW-135"</f>
        <v>42CW-135</v>
      </c>
      <c r="D697" t="s">
        <v>723</v>
      </c>
      <c r="E697" t="s">
        <v>4</v>
      </c>
      <c r="F697">
        <v>3.24</v>
      </c>
      <c r="G697">
        <v>0.54</v>
      </c>
      <c r="H697" t="s">
        <v>20</v>
      </c>
      <c r="I697" s="1">
        <v>5.55</v>
      </c>
      <c r="J697" s="1">
        <v>5.27</v>
      </c>
      <c r="K697" t="s">
        <v>457</v>
      </c>
      <c r="L697" s="1">
        <v>5.79</v>
      </c>
    </row>
    <row r="698" spans="1:12">
      <c r="A698" t="s">
        <v>567</v>
      </c>
      <c r="B698">
        <v>380398</v>
      </c>
      <c r="C698" s="2" t="str">
        <f>"44CW-135"</f>
        <v>44CW-135</v>
      </c>
      <c r="D698" t="s">
        <v>724</v>
      </c>
      <c r="E698" t="s">
        <v>4</v>
      </c>
      <c r="F698">
        <v>4.0199999999999996</v>
      </c>
      <c r="G698">
        <v>0.67</v>
      </c>
      <c r="H698" t="s">
        <v>20</v>
      </c>
      <c r="I698" s="1">
        <v>6.54</v>
      </c>
      <c r="J698" s="1">
        <v>6.2</v>
      </c>
      <c r="K698" t="s">
        <v>457</v>
      </c>
      <c r="L698" s="1">
        <v>6.82</v>
      </c>
    </row>
    <row r="699" spans="1:12">
      <c r="A699" t="s">
        <v>567</v>
      </c>
      <c r="B699">
        <v>380400</v>
      </c>
      <c r="C699" s="2" t="str">
        <f>"44HP-150"</f>
        <v>44HP-150</v>
      </c>
      <c r="D699" t="s">
        <v>725</v>
      </c>
      <c r="E699" t="s">
        <v>4</v>
      </c>
      <c r="F699">
        <v>4.26</v>
      </c>
      <c r="G699">
        <v>0.71</v>
      </c>
      <c r="H699" t="s">
        <v>20</v>
      </c>
      <c r="I699" s="1">
        <v>13.96</v>
      </c>
      <c r="J699" s="1">
        <v>13.22</v>
      </c>
      <c r="K699" t="s">
        <v>457</v>
      </c>
      <c r="L699" s="1">
        <v>14.54</v>
      </c>
    </row>
    <row r="700" spans="1:12">
      <c r="A700" t="s">
        <v>567</v>
      </c>
      <c r="B700">
        <v>380404</v>
      </c>
      <c r="C700" s="2" t="str">
        <f>"46CW-135"</f>
        <v>46CW-135</v>
      </c>
      <c r="D700" t="s">
        <v>726</v>
      </c>
      <c r="E700" t="s">
        <v>4</v>
      </c>
      <c r="F700">
        <v>5.28</v>
      </c>
      <c r="G700">
        <v>0.88</v>
      </c>
      <c r="H700" t="s">
        <v>20</v>
      </c>
      <c r="I700" s="1">
        <v>7.57</v>
      </c>
      <c r="J700" s="1">
        <v>7.16</v>
      </c>
      <c r="K700" t="s">
        <v>457</v>
      </c>
      <c r="L700" s="1">
        <v>7.88</v>
      </c>
    </row>
    <row r="701" spans="1:12">
      <c r="A701" t="s">
        <v>567</v>
      </c>
      <c r="B701">
        <v>380408</v>
      </c>
      <c r="C701" s="2" t="str">
        <f>"46HP-150"</f>
        <v>46HP-150</v>
      </c>
      <c r="D701" t="s">
        <v>727</v>
      </c>
      <c r="E701" t="s">
        <v>4</v>
      </c>
      <c r="F701">
        <v>5.76</v>
      </c>
      <c r="G701">
        <v>0.96</v>
      </c>
      <c r="H701" t="s">
        <v>20</v>
      </c>
      <c r="I701" s="1">
        <v>17.88</v>
      </c>
      <c r="J701" s="1">
        <v>16.940000000000001</v>
      </c>
      <c r="K701" t="s">
        <v>457</v>
      </c>
      <c r="L701" s="1">
        <v>18.63</v>
      </c>
    </row>
    <row r="702" spans="1:12">
      <c r="A702" t="s">
        <v>567</v>
      </c>
      <c r="B702">
        <v>380422</v>
      </c>
      <c r="C702" s="2" t="str">
        <f>"4SFSCW-135"</f>
        <v>4SFSCW-135</v>
      </c>
      <c r="D702" t="s">
        <v>728</v>
      </c>
      <c r="E702" t="s">
        <v>4</v>
      </c>
      <c r="F702">
        <v>6</v>
      </c>
      <c r="G702">
        <v>1</v>
      </c>
      <c r="H702" t="s">
        <v>20</v>
      </c>
      <c r="I702" s="1">
        <v>8.06</v>
      </c>
      <c r="J702" s="1">
        <v>7.63</v>
      </c>
      <c r="K702" t="s">
        <v>457</v>
      </c>
      <c r="L702" s="1">
        <v>8.39</v>
      </c>
    </row>
    <row r="703" spans="1:12">
      <c r="A703" t="s">
        <v>567</v>
      </c>
      <c r="B703">
        <v>380425</v>
      </c>
      <c r="C703" s="2" t="str">
        <f>"4SFSP-148"</f>
        <v>4SFSP-148</v>
      </c>
      <c r="D703" t="s">
        <v>729</v>
      </c>
      <c r="E703" t="s">
        <v>4</v>
      </c>
      <c r="F703">
        <v>4.74</v>
      </c>
      <c r="G703">
        <v>0.79</v>
      </c>
      <c r="H703" t="s">
        <v>20</v>
      </c>
      <c r="I703" s="1">
        <v>5.34</v>
      </c>
      <c r="J703" s="1">
        <v>5.0599999999999996</v>
      </c>
      <c r="K703" t="s">
        <v>457</v>
      </c>
      <c r="L703" s="1">
        <v>5.56</v>
      </c>
    </row>
    <row r="704" spans="1:12">
      <c r="A704" t="s">
        <v>567</v>
      </c>
      <c r="B704">
        <v>472121</v>
      </c>
      <c r="C704" s="2" t="str">
        <f>"4SFSPPSW3190"</f>
        <v>4SFSPPSW3190</v>
      </c>
      <c r="D704" t="s">
        <v>730</v>
      </c>
      <c r="E704" t="s">
        <v>4</v>
      </c>
      <c r="F704">
        <v>12</v>
      </c>
      <c r="H704" t="s">
        <v>5</v>
      </c>
      <c r="I704" s="1">
        <v>101.89</v>
      </c>
      <c r="J704" s="1">
        <v>96.53</v>
      </c>
      <c r="K704" t="s">
        <v>6</v>
      </c>
    </row>
    <row r="705" spans="1:12">
      <c r="A705" t="s">
        <v>567</v>
      </c>
      <c r="B705">
        <v>460012</v>
      </c>
      <c r="C705" s="2" t="str">
        <f>"500LCD-110"</f>
        <v>500LCD-110</v>
      </c>
      <c r="D705" t="s">
        <v>731</v>
      </c>
      <c r="E705" t="s">
        <v>4</v>
      </c>
      <c r="F705">
        <v>16</v>
      </c>
      <c r="H705" t="s">
        <v>5</v>
      </c>
      <c r="I705" s="1">
        <v>163.63999999999999</v>
      </c>
      <c r="J705" s="1">
        <v>155.03</v>
      </c>
      <c r="K705" t="s">
        <v>6</v>
      </c>
    </row>
    <row r="706" spans="1:12">
      <c r="A706" t="s">
        <v>567</v>
      </c>
      <c r="B706">
        <v>380429</v>
      </c>
      <c r="C706" s="2" t="str">
        <f>"500LCD-131"</f>
        <v>500LCD-131</v>
      </c>
      <c r="D706" t="s">
        <v>732</v>
      </c>
      <c r="E706" t="s">
        <v>4</v>
      </c>
      <c r="F706">
        <v>16</v>
      </c>
      <c r="H706" t="s">
        <v>5</v>
      </c>
      <c r="I706" s="1">
        <v>163.63999999999999</v>
      </c>
      <c r="J706" s="1">
        <v>155.03</v>
      </c>
      <c r="K706" t="s">
        <v>6</v>
      </c>
    </row>
    <row r="707" spans="1:12">
      <c r="A707" t="s">
        <v>567</v>
      </c>
      <c r="B707">
        <v>367810</v>
      </c>
      <c r="C707" s="2" t="str">
        <f>"500P-152"</f>
        <v>500P-152</v>
      </c>
      <c r="D707" t="s">
        <v>733</v>
      </c>
      <c r="E707" t="s">
        <v>4</v>
      </c>
      <c r="F707">
        <v>6.5</v>
      </c>
      <c r="H707" t="s">
        <v>5</v>
      </c>
      <c r="I707" s="1">
        <v>43.12</v>
      </c>
      <c r="J707" s="1">
        <v>40.86</v>
      </c>
      <c r="K707" t="s">
        <v>6</v>
      </c>
    </row>
    <row r="708" spans="1:12">
      <c r="A708" t="s">
        <v>567</v>
      </c>
      <c r="B708">
        <v>368213</v>
      </c>
      <c r="C708" s="2" t="str">
        <f>"500P153"</f>
        <v>500P153</v>
      </c>
      <c r="D708" t="s">
        <v>734</v>
      </c>
      <c r="E708" t="s">
        <v>4</v>
      </c>
      <c r="F708">
        <v>6.5</v>
      </c>
      <c r="H708" t="s">
        <v>5</v>
      </c>
      <c r="I708" s="1">
        <v>43.12</v>
      </c>
      <c r="J708" s="1">
        <v>40.86</v>
      </c>
      <c r="K708" t="s">
        <v>6</v>
      </c>
    </row>
    <row r="709" spans="1:12">
      <c r="A709" t="s">
        <v>567</v>
      </c>
      <c r="B709">
        <v>388024</v>
      </c>
      <c r="C709" s="2" t="str">
        <f>"500P-156"</f>
        <v>500P-156</v>
      </c>
      <c r="D709" t="s">
        <v>735</v>
      </c>
      <c r="E709" t="s">
        <v>4</v>
      </c>
      <c r="F709">
        <v>6.5</v>
      </c>
      <c r="H709" t="s">
        <v>5</v>
      </c>
      <c r="I709" s="1">
        <v>43.12</v>
      </c>
      <c r="J709" s="1">
        <v>40.86</v>
      </c>
      <c r="K709" t="s">
        <v>6</v>
      </c>
    </row>
    <row r="710" spans="1:12">
      <c r="A710" t="s">
        <v>567</v>
      </c>
      <c r="B710">
        <v>368333</v>
      </c>
      <c r="C710" s="2" t="str">
        <f>"500P2-152"</f>
        <v>500P2-152</v>
      </c>
      <c r="D710" t="s">
        <v>736</v>
      </c>
      <c r="E710" t="s">
        <v>4</v>
      </c>
      <c r="F710">
        <v>2.17</v>
      </c>
      <c r="H710" t="s">
        <v>5</v>
      </c>
      <c r="I710" s="1">
        <v>15.42</v>
      </c>
      <c r="J710" s="1">
        <v>14.6</v>
      </c>
      <c r="K710" t="s">
        <v>6</v>
      </c>
    </row>
    <row r="711" spans="1:12">
      <c r="A711" t="s">
        <v>567</v>
      </c>
      <c r="B711">
        <v>375778</v>
      </c>
      <c r="C711" s="2" t="str">
        <f>"500P2-153"</f>
        <v>500P2-153</v>
      </c>
      <c r="D711" t="s">
        <v>737</v>
      </c>
      <c r="E711" t="s">
        <v>4</v>
      </c>
      <c r="F711">
        <v>2.5</v>
      </c>
      <c r="H711" t="s">
        <v>5</v>
      </c>
      <c r="I711" s="1">
        <v>15.42</v>
      </c>
      <c r="J711" s="1">
        <v>14.6</v>
      </c>
      <c r="K711" t="s">
        <v>6</v>
      </c>
    </row>
    <row r="712" spans="1:12">
      <c r="A712" t="s">
        <v>567</v>
      </c>
      <c r="B712">
        <v>398319</v>
      </c>
      <c r="C712" s="2" t="str">
        <f>"500P2-156"</f>
        <v>500P2-156</v>
      </c>
      <c r="D712" t="s">
        <v>738</v>
      </c>
      <c r="E712" t="s">
        <v>4</v>
      </c>
      <c r="F712">
        <v>2.5</v>
      </c>
      <c r="H712" t="s">
        <v>5</v>
      </c>
      <c r="I712" s="1">
        <v>15.42</v>
      </c>
      <c r="J712" s="1">
        <v>14.6</v>
      </c>
      <c r="K712" t="s">
        <v>6</v>
      </c>
    </row>
    <row r="713" spans="1:12">
      <c r="A713" t="s">
        <v>567</v>
      </c>
      <c r="B713">
        <v>380577</v>
      </c>
      <c r="C713" s="2" t="str">
        <f>"50MCCW-135"</f>
        <v>50MCCW-135</v>
      </c>
      <c r="D713" t="s">
        <v>739</v>
      </c>
      <c r="E713" t="s">
        <v>4</v>
      </c>
      <c r="F713">
        <v>4.5599999999999996</v>
      </c>
      <c r="G713">
        <v>0.38</v>
      </c>
      <c r="H713" t="s">
        <v>106</v>
      </c>
      <c r="I713" s="1">
        <v>7.53</v>
      </c>
      <c r="J713" s="1">
        <v>7.14</v>
      </c>
      <c r="K713" t="s">
        <v>457</v>
      </c>
      <c r="L713" s="1">
        <v>7.85</v>
      </c>
    </row>
    <row r="714" spans="1:12">
      <c r="A714" t="s">
        <v>567</v>
      </c>
      <c r="B714">
        <v>432025</v>
      </c>
      <c r="C714" s="2" t="str">
        <f>"60CFC-135"</f>
        <v>60CFC-135</v>
      </c>
      <c r="D714" t="s">
        <v>740</v>
      </c>
      <c r="E714" t="s">
        <v>4</v>
      </c>
      <c r="F714">
        <v>0.5</v>
      </c>
      <c r="H714" t="s">
        <v>5</v>
      </c>
      <c r="I714" s="1">
        <v>8.0299999999999994</v>
      </c>
      <c r="J714" s="1">
        <v>7.61</v>
      </c>
      <c r="K714" t="s">
        <v>6</v>
      </c>
    </row>
    <row r="715" spans="1:12">
      <c r="A715" t="s">
        <v>567</v>
      </c>
      <c r="B715">
        <v>380580</v>
      </c>
      <c r="C715" s="2" t="str">
        <f>"60CWC-135"</f>
        <v>60CWC-135</v>
      </c>
      <c r="D715" t="s">
        <v>741</v>
      </c>
      <c r="E715" t="s">
        <v>4</v>
      </c>
      <c r="F715">
        <v>1.98</v>
      </c>
      <c r="G715">
        <v>0.33</v>
      </c>
      <c r="H715" t="s">
        <v>20</v>
      </c>
      <c r="I715" s="1">
        <v>3.03</v>
      </c>
      <c r="J715" s="1">
        <v>2.86</v>
      </c>
      <c r="K715" t="s">
        <v>457</v>
      </c>
      <c r="L715" s="1">
        <v>3.15</v>
      </c>
    </row>
    <row r="716" spans="1:12">
      <c r="A716" t="s">
        <v>567</v>
      </c>
      <c r="B716">
        <v>380581</v>
      </c>
      <c r="C716" s="2" t="str">
        <f>"60CWCH-135"</f>
        <v>60CWCH-135</v>
      </c>
      <c r="D716" t="s">
        <v>742</v>
      </c>
      <c r="E716" t="s">
        <v>4</v>
      </c>
      <c r="F716">
        <v>1.74</v>
      </c>
      <c r="G716">
        <v>0.28999999999999998</v>
      </c>
      <c r="H716" t="s">
        <v>20</v>
      </c>
      <c r="I716" s="1">
        <v>3.33</v>
      </c>
      <c r="J716" s="1">
        <v>3.16</v>
      </c>
      <c r="K716" t="s">
        <v>457</v>
      </c>
      <c r="L716" s="1">
        <v>3.47</v>
      </c>
    </row>
    <row r="717" spans="1:12">
      <c r="A717" t="s">
        <v>567</v>
      </c>
      <c r="B717">
        <v>381693</v>
      </c>
      <c r="C717" s="2" t="str">
        <f>"60CWCHN-135"</f>
        <v>60CWCHN-135</v>
      </c>
      <c r="D717" t="s">
        <v>743</v>
      </c>
      <c r="E717" t="s">
        <v>4</v>
      </c>
      <c r="F717">
        <v>1.74</v>
      </c>
      <c r="G717">
        <v>0.28999999999999998</v>
      </c>
      <c r="H717" t="s">
        <v>20</v>
      </c>
      <c r="I717" s="1">
        <v>3.33</v>
      </c>
      <c r="J717" s="1">
        <v>3.16</v>
      </c>
      <c r="K717" t="s">
        <v>457</v>
      </c>
      <c r="L717" s="1">
        <v>3.47</v>
      </c>
    </row>
    <row r="718" spans="1:12">
      <c r="A718" t="s">
        <v>567</v>
      </c>
      <c r="B718">
        <v>431280</v>
      </c>
      <c r="C718" s="2" t="str">
        <f>"60CWD-135"</f>
        <v>60CWD-135</v>
      </c>
      <c r="D718" t="s">
        <v>744</v>
      </c>
      <c r="E718" t="s">
        <v>4</v>
      </c>
      <c r="F718">
        <v>0.78</v>
      </c>
      <c r="G718">
        <v>0.13</v>
      </c>
      <c r="H718" t="s">
        <v>20</v>
      </c>
      <c r="I718" s="1">
        <v>1.82</v>
      </c>
      <c r="J718" s="1">
        <v>1.73</v>
      </c>
      <c r="K718" t="s">
        <v>457</v>
      </c>
      <c r="L718" s="1">
        <v>1.9</v>
      </c>
    </row>
    <row r="719" spans="1:12">
      <c r="A719" t="s">
        <v>567</v>
      </c>
      <c r="B719">
        <v>382392</v>
      </c>
      <c r="C719" s="2" t="str">
        <f>"60CWLN-135"</f>
        <v>60CWLN-135</v>
      </c>
      <c r="D719" t="s">
        <v>745</v>
      </c>
      <c r="E719" t="s">
        <v>4</v>
      </c>
      <c r="F719">
        <v>1.98</v>
      </c>
      <c r="G719">
        <v>0.33</v>
      </c>
      <c r="H719" t="s">
        <v>20</v>
      </c>
      <c r="I719" s="1">
        <v>4.45</v>
      </c>
      <c r="J719" s="1">
        <v>4.21</v>
      </c>
      <c r="K719" t="s">
        <v>457</v>
      </c>
      <c r="L719" s="1">
        <v>4.63</v>
      </c>
    </row>
    <row r="720" spans="1:12">
      <c r="A720" t="s">
        <v>567</v>
      </c>
      <c r="B720">
        <v>380586</v>
      </c>
      <c r="C720" s="2" t="str">
        <f>"60HPCH-150"</f>
        <v>60HPCH-150</v>
      </c>
      <c r="D720" t="s">
        <v>746</v>
      </c>
      <c r="E720" t="s">
        <v>4</v>
      </c>
      <c r="F720">
        <v>1.02</v>
      </c>
      <c r="G720">
        <v>0.17</v>
      </c>
      <c r="H720" t="s">
        <v>20</v>
      </c>
      <c r="I720" s="1">
        <v>6.45</v>
      </c>
      <c r="J720" s="1">
        <v>6.11</v>
      </c>
      <c r="K720" t="s">
        <v>457</v>
      </c>
      <c r="L720" s="1">
        <v>6.72</v>
      </c>
    </row>
    <row r="721" spans="1:12">
      <c r="A721" t="s">
        <v>567</v>
      </c>
      <c r="B721">
        <v>382403</v>
      </c>
      <c r="C721" s="2" t="str">
        <f>"60HPLN-150"</f>
        <v>60HPLN-150</v>
      </c>
      <c r="D721" t="s">
        <v>747</v>
      </c>
      <c r="E721" t="s">
        <v>4</v>
      </c>
      <c r="F721">
        <v>1.98</v>
      </c>
      <c r="G721">
        <v>0.33</v>
      </c>
      <c r="H721" t="s">
        <v>20</v>
      </c>
      <c r="I721" s="1">
        <v>8.8000000000000007</v>
      </c>
      <c r="J721" s="1">
        <v>8.33</v>
      </c>
      <c r="K721" t="s">
        <v>457</v>
      </c>
      <c r="L721" s="1">
        <v>9.17</v>
      </c>
    </row>
    <row r="722" spans="1:12">
      <c r="A722" t="s">
        <v>567</v>
      </c>
      <c r="B722">
        <v>423338</v>
      </c>
      <c r="C722" s="2" t="str">
        <f>"60PPCH-190"</f>
        <v>60PPCH-190</v>
      </c>
      <c r="D722" t="s">
        <v>748</v>
      </c>
      <c r="E722" t="s">
        <v>4</v>
      </c>
      <c r="F722">
        <v>0.96</v>
      </c>
      <c r="G722">
        <v>0.16</v>
      </c>
      <c r="H722" t="s">
        <v>20</v>
      </c>
      <c r="I722" s="1">
        <v>2.96</v>
      </c>
      <c r="J722" s="1">
        <v>2.81</v>
      </c>
      <c r="K722" t="s">
        <v>457</v>
      </c>
      <c r="L722" s="1">
        <v>3.09</v>
      </c>
    </row>
    <row r="723" spans="1:12">
      <c r="A723" t="s">
        <v>567</v>
      </c>
      <c r="B723">
        <v>431294</v>
      </c>
      <c r="C723" s="2" t="str">
        <f>"60PPSC-190"</f>
        <v>60PPSC-190</v>
      </c>
      <c r="D723" t="s">
        <v>749</v>
      </c>
      <c r="E723" t="s">
        <v>4</v>
      </c>
      <c r="F723">
        <v>1.26</v>
      </c>
      <c r="G723">
        <v>0.21</v>
      </c>
      <c r="H723" t="s">
        <v>20</v>
      </c>
      <c r="I723" s="1">
        <v>2.96</v>
      </c>
      <c r="J723" s="1">
        <v>2.81</v>
      </c>
      <c r="K723" t="s">
        <v>457</v>
      </c>
      <c r="L723" s="1">
        <v>3.09</v>
      </c>
    </row>
    <row r="724" spans="1:12">
      <c r="A724" t="s">
        <v>567</v>
      </c>
      <c r="B724">
        <v>431281</v>
      </c>
      <c r="C724" s="2" t="str">
        <f>"60SC-148"</f>
        <v>60SC-148</v>
      </c>
      <c r="D724" t="s">
        <v>750</v>
      </c>
      <c r="E724" t="s">
        <v>4</v>
      </c>
      <c r="F724">
        <v>1.02</v>
      </c>
      <c r="G724">
        <v>0.17</v>
      </c>
      <c r="H724" t="s">
        <v>20</v>
      </c>
      <c r="I724" s="1">
        <v>2</v>
      </c>
      <c r="J724" s="1">
        <v>1.9</v>
      </c>
      <c r="K724" t="s">
        <v>457</v>
      </c>
      <c r="L724" s="1">
        <v>2.09</v>
      </c>
    </row>
    <row r="725" spans="1:12">
      <c r="A725" t="s">
        <v>567</v>
      </c>
      <c r="B725">
        <v>380588</v>
      </c>
      <c r="C725" s="2" t="str">
        <f>"62CW-135"</f>
        <v>62CW-135</v>
      </c>
      <c r="D725" t="s">
        <v>751</v>
      </c>
      <c r="E725" t="s">
        <v>4</v>
      </c>
      <c r="F725">
        <v>1.98</v>
      </c>
      <c r="G725">
        <v>0.33</v>
      </c>
      <c r="H725" t="s">
        <v>20</v>
      </c>
      <c r="I725" s="1">
        <v>4.04</v>
      </c>
      <c r="J725" s="1">
        <v>3.84</v>
      </c>
      <c r="K725" t="s">
        <v>457</v>
      </c>
      <c r="L725" s="1">
        <v>4.22</v>
      </c>
    </row>
    <row r="726" spans="1:12">
      <c r="A726" t="s">
        <v>567</v>
      </c>
      <c r="B726">
        <v>431276</v>
      </c>
      <c r="C726" s="2" t="str">
        <f>"64CW-110"</f>
        <v>64CW-110</v>
      </c>
      <c r="D726" t="s">
        <v>752</v>
      </c>
      <c r="E726" t="s">
        <v>4</v>
      </c>
      <c r="F726">
        <v>2.76</v>
      </c>
      <c r="G726">
        <v>0.46</v>
      </c>
      <c r="H726" t="s">
        <v>20</v>
      </c>
      <c r="I726" s="1">
        <v>4.58</v>
      </c>
      <c r="J726" s="1">
        <v>4.33</v>
      </c>
      <c r="K726" t="s">
        <v>457</v>
      </c>
      <c r="L726" s="1">
        <v>4.76</v>
      </c>
    </row>
    <row r="727" spans="1:12">
      <c r="A727" t="s">
        <v>567</v>
      </c>
      <c r="B727">
        <v>380591</v>
      </c>
      <c r="C727" s="2" t="str">
        <f>"64CW-135"</f>
        <v>64CW-135</v>
      </c>
      <c r="D727" t="s">
        <v>753</v>
      </c>
      <c r="E727" t="s">
        <v>4</v>
      </c>
      <c r="F727">
        <v>2.76</v>
      </c>
      <c r="G727">
        <v>0.46</v>
      </c>
      <c r="H727" t="s">
        <v>20</v>
      </c>
      <c r="I727" s="1">
        <v>4.58</v>
      </c>
      <c r="J727" s="1">
        <v>4.33</v>
      </c>
      <c r="K727" t="s">
        <v>457</v>
      </c>
      <c r="L727" s="1">
        <v>4.76</v>
      </c>
    </row>
    <row r="728" spans="1:12">
      <c r="A728" t="s">
        <v>567</v>
      </c>
      <c r="B728">
        <v>380592</v>
      </c>
      <c r="C728" s="2" t="str">
        <f>"64HP-150"</f>
        <v>64HP-150</v>
      </c>
      <c r="D728" t="s">
        <v>754</v>
      </c>
      <c r="E728" t="s">
        <v>4</v>
      </c>
      <c r="F728">
        <v>3</v>
      </c>
      <c r="G728">
        <v>0.5</v>
      </c>
      <c r="H728" t="s">
        <v>20</v>
      </c>
      <c r="I728" s="1">
        <v>10.65</v>
      </c>
      <c r="J728" s="1">
        <v>10.09</v>
      </c>
      <c r="K728" t="s">
        <v>457</v>
      </c>
      <c r="L728" s="1">
        <v>11.1</v>
      </c>
    </row>
    <row r="729" spans="1:12">
      <c r="A729" t="s">
        <v>567</v>
      </c>
      <c r="B729">
        <v>423330</v>
      </c>
      <c r="C729" s="2" t="str">
        <f>"64PP-190"</f>
        <v>64PP-190</v>
      </c>
      <c r="D729" t="s">
        <v>755</v>
      </c>
      <c r="E729" t="s">
        <v>4</v>
      </c>
      <c r="F729">
        <v>1.86</v>
      </c>
      <c r="G729">
        <v>0.31</v>
      </c>
      <c r="H729" t="s">
        <v>20</v>
      </c>
      <c r="I729" s="1">
        <v>3.19</v>
      </c>
      <c r="J729" s="1">
        <v>3.02</v>
      </c>
      <c r="K729" t="s">
        <v>457</v>
      </c>
      <c r="L729" s="1">
        <v>3.32</v>
      </c>
    </row>
    <row r="730" spans="1:12">
      <c r="A730" t="s">
        <v>567</v>
      </c>
      <c r="B730">
        <v>431351</v>
      </c>
      <c r="C730" s="2" t="str">
        <f>"66CF-148"</f>
        <v>66CF-148</v>
      </c>
      <c r="D730" t="s">
        <v>756</v>
      </c>
      <c r="E730" t="s">
        <v>4</v>
      </c>
      <c r="F730">
        <v>3.25</v>
      </c>
      <c r="H730" t="s">
        <v>5</v>
      </c>
      <c r="I730" s="1">
        <v>18.190000000000001</v>
      </c>
      <c r="J730" s="1">
        <v>17.23</v>
      </c>
      <c r="K730" t="s">
        <v>6</v>
      </c>
    </row>
    <row r="731" spans="1:12">
      <c r="A731" t="s">
        <v>567</v>
      </c>
      <c r="B731">
        <v>424458</v>
      </c>
      <c r="C731" s="2" t="str">
        <f>"66CW-110"</f>
        <v>66CW-110</v>
      </c>
      <c r="D731" t="s">
        <v>757</v>
      </c>
      <c r="E731" t="s">
        <v>4</v>
      </c>
      <c r="F731">
        <v>3.78</v>
      </c>
      <c r="G731">
        <v>0.63</v>
      </c>
      <c r="H731" t="s">
        <v>20</v>
      </c>
      <c r="I731" s="1">
        <v>6.11</v>
      </c>
      <c r="J731" s="1">
        <v>5.8</v>
      </c>
      <c r="K731" t="s">
        <v>457</v>
      </c>
      <c r="L731" s="1">
        <v>6.38</v>
      </c>
    </row>
    <row r="732" spans="1:12">
      <c r="A732" t="s">
        <v>567</v>
      </c>
      <c r="B732">
        <v>380593</v>
      </c>
      <c r="C732" s="2" t="str">
        <f>"66CW-135"</f>
        <v>66CW-135</v>
      </c>
      <c r="D732" t="s">
        <v>758</v>
      </c>
      <c r="E732" t="s">
        <v>4</v>
      </c>
      <c r="F732">
        <v>3.78</v>
      </c>
      <c r="G732">
        <v>0.63</v>
      </c>
      <c r="H732" t="s">
        <v>20</v>
      </c>
      <c r="I732" s="1">
        <v>6.11</v>
      </c>
      <c r="J732" s="1">
        <v>5.8</v>
      </c>
      <c r="K732" t="s">
        <v>457</v>
      </c>
      <c r="L732" s="1">
        <v>6.38</v>
      </c>
    </row>
    <row r="733" spans="1:12">
      <c r="A733" t="s">
        <v>567</v>
      </c>
      <c r="B733">
        <v>380595</v>
      </c>
      <c r="C733" s="2" t="str">
        <f>"66HP-150"</f>
        <v>66HP-150</v>
      </c>
      <c r="D733" t="s">
        <v>759</v>
      </c>
      <c r="E733" t="s">
        <v>4</v>
      </c>
      <c r="F733">
        <v>4.0199999999999996</v>
      </c>
      <c r="G733">
        <v>0.67</v>
      </c>
      <c r="H733" t="s">
        <v>20</v>
      </c>
      <c r="I733" s="1">
        <v>12.94</v>
      </c>
      <c r="J733" s="1">
        <v>12.26</v>
      </c>
      <c r="K733" t="s">
        <v>457</v>
      </c>
      <c r="L733" s="1">
        <v>13.48</v>
      </c>
    </row>
    <row r="734" spans="1:12">
      <c r="A734" t="s">
        <v>567</v>
      </c>
      <c r="B734">
        <v>423332</v>
      </c>
      <c r="C734" s="2" t="str">
        <f>"66PP-190"</f>
        <v>66PP-190</v>
      </c>
      <c r="D734" t="s">
        <v>760</v>
      </c>
      <c r="E734" t="s">
        <v>4</v>
      </c>
      <c r="F734">
        <v>2.46</v>
      </c>
      <c r="G734">
        <v>0.41</v>
      </c>
      <c r="H734" t="s">
        <v>20</v>
      </c>
      <c r="I734" s="1">
        <v>4.17</v>
      </c>
      <c r="J734" s="1">
        <v>3.95</v>
      </c>
      <c r="K734" t="s">
        <v>457</v>
      </c>
      <c r="L734" s="1">
        <v>4.3499999999999996</v>
      </c>
    </row>
    <row r="735" spans="1:12">
      <c r="A735" t="s">
        <v>567</v>
      </c>
      <c r="B735">
        <v>380596</v>
      </c>
      <c r="C735" s="2" t="str">
        <f>"6SFSCW-135"</f>
        <v>6SFSCW-135</v>
      </c>
      <c r="D735" t="s">
        <v>761</v>
      </c>
      <c r="E735" t="s">
        <v>4</v>
      </c>
      <c r="F735">
        <v>7.98</v>
      </c>
      <c r="G735">
        <v>1.33</v>
      </c>
      <c r="H735" t="s">
        <v>20</v>
      </c>
      <c r="I735" s="1">
        <v>10.44</v>
      </c>
      <c r="J735" s="1">
        <v>9.8800000000000008</v>
      </c>
      <c r="K735" t="s">
        <v>457</v>
      </c>
      <c r="L735" s="1">
        <v>10.87</v>
      </c>
    </row>
    <row r="736" spans="1:12">
      <c r="A736" t="s">
        <v>567</v>
      </c>
      <c r="B736">
        <v>380597</v>
      </c>
      <c r="C736" s="2" t="str">
        <f>"6SFSP-148"</f>
        <v>6SFSP-148</v>
      </c>
      <c r="D736" t="s">
        <v>762</v>
      </c>
      <c r="E736" t="s">
        <v>4</v>
      </c>
      <c r="F736">
        <v>6.24</v>
      </c>
      <c r="G736">
        <v>1.04</v>
      </c>
      <c r="H736" t="s">
        <v>20</v>
      </c>
      <c r="I736" s="1">
        <v>6.64</v>
      </c>
      <c r="J736" s="1">
        <v>6.29</v>
      </c>
      <c r="K736" t="s">
        <v>457</v>
      </c>
      <c r="L736" s="1">
        <v>6.92</v>
      </c>
    </row>
    <row r="737" spans="1:12">
      <c r="A737" t="s">
        <v>567</v>
      </c>
      <c r="B737">
        <v>472122</v>
      </c>
      <c r="C737" s="2" t="str">
        <f>"6SFSPPSW2190"</f>
        <v>6SFSPPSW2190</v>
      </c>
      <c r="D737" t="s">
        <v>763</v>
      </c>
      <c r="E737" t="s">
        <v>4</v>
      </c>
      <c r="F737">
        <v>15</v>
      </c>
      <c r="H737" t="s">
        <v>5</v>
      </c>
      <c r="I737" s="1">
        <v>127.08</v>
      </c>
      <c r="J737" s="1">
        <v>120.39</v>
      </c>
      <c r="K737" t="s">
        <v>6</v>
      </c>
    </row>
    <row r="738" spans="1:12">
      <c r="A738" t="s">
        <v>567</v>
      </c>
      <c r="B738">
        <v>368887</v>
      </c>
      <c r="C738" s="2" t="str">
        <f>"800P-152"</f>
        <v>800P-152</v>
      </c>
      <c r="D738" t="s">
        <v>764</v>
      </c>
      <c r="E738" t="s">
        <v>4</v>
      </c>
      <c r="F738">
        <v>8.25</v>
      </c>
      <c r="H738" t="s">
        <v>5</v>
      </c>
      <c r="I738" s="1">
        <v>52.01</v>
      </c>
      <c r="J738" s="1">
        <v>49.28</v>
      </c>
      <c r="K738" t="s">
        <v>6</v>
      </c>
    </row>
    <row r="739" spans="1:12">
      <c r="A739" t="s">
        <v>567</v>
      </c>
      <c r="B739">
        <v>367961</v>
      </c>
      <c r="C739" s="2" t="str">
        <f>"800P-153"</f>
        <v>800P-153</v>
      </c>
      <c r="D739" t="s">
        <v>765</v>
      </c>
      <c r="E739" t="s">
        <v>4</v>
      </c>
      <c r="F739">
        <v>8.25</v>
      </c>
      <c r="H739" t="s">
        <v>5</v>
      </c>
      <c r="I739" s="1">
        <v>52.01</v>
      </c>
      <c r="J739" s="1">
        <v>49.28</v>
      </c>
      <c r="K739" t="s">
        <v>6</v>
      </c>
    </row>
    <row r="740" spans="1:12">
      <c r="A740" t="s">
        <v>567</v>
      </c>
      <c r="B740">
        <v>388025</v>
      </c>
      <c r="C740" s="2" t="str">
        <f>"800P-156"</f>
        <v>800P-156</v>
      </c>
      <c r="D740" t="s">
        <v>766</v>
      </c>
      <c r="E740" t="s">
        <v>4</v>
      </c>
      <c r="F740">
        <v>8.25</v>
      </c>
      <c r="H740" t="s">
        <v>5</v>
      </c>
      <c r="I740" s="1">
        <v>52.01</v>
      </c>
      <c r="J740" s="1">
        <v>49.28</v>
      </c>
      <c r="K740" t="s">
        <v>6</v>
      </c>
    </row>
    <row r="741" spans="1:12">
      <c r="A741" t="s">
        <v>567</v>
      </c>
      <c r="B741">
        <v>368299</v>
      </c>
      <c r="C741" s="2" t="str">
        <f>"800P2-152"</f>
        <v>800P2-152</v>
      </c>
      <c r="D741" t="s">
        <v>767</v>
      </c>
      <c r="E741" t="s">
        <v>4</v>
      </c>
      <c r="F741">
        <v>2.75</v>
      </c>
      <c r="H741" t="s">
        <v>5</v>
      </c>
      <c r="I741" s="1">
        <v>18.670000000000002</v>
      </c>
      <c r="J741" s="1">
        <v>17.690000000000001</v>
      </c>
      <c r="K741" t="s">
        <v>6</v>
      </c>
    </row>
    <row r="742" spans="1:12">
      <c r="A742" t="s">
        <v>567</v>
      </c>
      <c r="B742">
        <v>380598</v>
      </c>
      <c r="C742" s="2" t="str">
        <f>"800P2-153"</f>
        <v>800P2-153</v>
      </c>
      <c r="D742" t="s">
        <v>768</v>
      </c>
      <c r="E742" t="s">
        <v>4</v>
      </c>
      <c r="F742">
        <v>2.75</v>
      </c>
      <c r="H742" t="s">
        <v>5</v>
      </c>
      <c r="I742" s="1">
        <v>18.670000000000002</v>
      </c>
      <c r="J742" s="1">
        <v>17.690000000000001</v>
      </c>
      <c r="K742" t="s">
        <v>6</v>
      </c>
    </row>
    <row r="743" spans="1:12">
      <c r="A743" t="s">
        <v>567</v>
      </c>
      <c r="B743">
        <v>397305</v>
      </c>
      <c r="C743" s="2" t="str">
        <f>"800P2-156"</f>
        <v>800P2-156</v>
      </c>
      <c r="D743" t="s">
        <v>769</v>
      </c>
      <c r="E743" t="s">
        <v>4</v>
      </c>
      <c r="F743">
        <v>2.75</v>
      </c>
      <c r="H743" t="s">
        <v>5</v>
      </c>
      <c r="I743" s="1">
        <v>18.670000000000002</v>
      </c>
      <c r="J743" s="1">
        <v>17.690000000000001</v>
      </c>
      <c r="K743" t="s">
        <v>6</v>
      </c>
    </row>
    <row r="744" spans="1:12">
      <c r="A744" t="s">
        <v>567</v>
      </c>
      <c r="B744">
        <v>380599</v>
      </c>
      <c r="C744" s="2" t="str">
        <f>"8SFSCW-135"</f>
        <v>8SFSCW-135</v>
      </c>
      <c r="D744" t="s">
        <v>770</v>
      </c>
      <c r="E744" t="s">
        <v>4</v>
      </c>
      <c r="F744">
        <v>9.7799999999999994</v>
      </c>
      <c r="G744">
        <v>1.63</v>
      </c>
      <c r="H744" t="s">
        <v>20</v>
      </c>
      <c r="I744" s="1">
        <v>12.26</v>
      </c>
      <c r="J744" s="1">
        <v>11.61</v>
      </c>
      <c r="K744" t="s">
        <v>457</v>
      </c>
      <c r="L744" s="1">
        <v>12.77</v>
      </c>
    </row>
    <row r="745" spans="1:12">
      <c r="A745" t="s">
        <v>567</v>
      </c>
      <c r="B745">
        <v>380600</v>
      </c>
      <c r="C745" s="2" t="str">
        <f>"8SFSP-148"</f>
        <v>8SFSP-148</v>
      </c>
      <c r="D745" t="s">
        <v>771</v>
      </c>
      <c r="E745" t="s">
        <v>4</v>
      </c>
      <c r="F745">
        <v>7.98</v>
      </c>
      <c r="G745">
        <v>1.33</v>
      </c>
      <c r="H745" t="s">
        <v>20</v>
      </c>
      <c r="I745" s="1">
        <v>7.88</v>
      </c>
      <c r="J745" s="1">
        <v>7.46</v>
      </c>
      <c r="K745" t="s">
        <v>457</v>
      </c>
      <c r="L745" s="1">
        <v>8.2100000000000009</v>
      </c>
    </row>
    <row r="746" spans="1:12">
      <c r="A746" t="s">
        <v>567</v>
      </c>
      <c r="B746">
        <v>472123</v>
      </c>
      <c r="C746" s="2" t="str">
        <f>"8SFSPPSW2190"</f>
        <v>8SFSPPSW2190</v>
      </c>
      <c r="D746" t="s">
        <v>772</v>
      </c>
      <c r="E746" t="s">
        <v>4</v>
      </c>
      <c r="F746">
        <v>18</v>
      </c>
      <c r="H746" t="s">
        <v>5</v>
      </c>
      <c r="I746" s="1">
        <v>144.87</v>
      </c>
      <c r="J746" s="1">
        <v>137.24</v>
      </c>
      <c r="K746" t="s">
        <v>6</v>
      </c>
    </row>
    <row r="747" spans="1:12">
      <c r="A747" t="s">
        <v>567</v>
      </c>
      <c r="B747">
        <v>388026</v>
      </c>
      <c r="C747" s="2" t="str">
        <f>"900P-153"</f>
        <v>900P-153</v>
      </c>
      <c r="D747" t="s">
        <v>773</v>
      </c>
      <c r="E747" t="s">
        <v>4</v>
      </c>
      <c r="F747">
        <v>10</v>
      </c>
      <c r="H747" t="s">
        <v>5</v>
      </c>
      <c r="I747" s="1">
        <v>87.58</v>
      </c>
      <c r="J747" s="1">
        <v>82.98</v>
      </c>
      <c r="K747" t="s">
        <v>6</v>
      </c>
    </row>
    <row r="748" spans="1:12">
      <c r="A748" t="s">
        <v>567</v>
      </c>
      <c r="B748">
        <v>398321</v>
      </c>
      <c r="C748" s="2" t="str">
        <f>"900P2-152"</f>
        <v>900P2-152</v>
      </c>
      <c r="D748" t="s">
        <v>774</v>
      </c>
      <c r="E748" t="s">
        <v>4</v>
      </c>
      <c r="F748">
        <v>3.5</v>
      </c>
      <c r="H748" t="s">
        <v>5</v>
      </c>
      <c r="I748" s="1">
        <v>31.86</v>
      </c>
      <c r="J748" s="1">
        <v>30.19</v>
      </c>
      <c r="K748" t="s">
        <v>6</v>
      </c>
    </row>
    <row r="749" spans="1:12">
      <c r="A749" t="s">
        <v>567</v>
      </c>
      <c r="B749">
        <v>380601</v>
      </c>
      <c r="C749" s="2" t="str">
        <f>"90CWC-135"</f>
        <v>90CWC-135</v>
      </c>
      <c r="D749" t="s">
        <v>775</v>
      </c>
      <c r="E749" t="s">
        <v>4</v>
      </c>
      <c r="F749">
        <v>1.02</v>
      </c>
      <c r="G749">
        <v>0.17</v>
      </c>
      <c r="H749" t="s">
        <v>20</v>
      </c>
      <c r="I749" s="1">
        <v>3.39</v>
      </c>
      <c r="J749" s="1">
        <v>3.22</v>
      </c>
      <c r="K749" t="s">
        <v>457</v>
      </c>
      <c r="L749" s="1">
        <v>3.55</v>
      </c>
    </row>
    <row r="750" spans="1:12">
      <c r="A750" t="s">
        <v>567</v>
      </c>
      <c r="B750">
        <v>431289</v>
      </c>
      <c r="C750" s="2" t="str">
        <f>"90SC-148"</f>
        <v>90SC-148</v>
      </c>
      <c r="D750" t="s">
        <v>776</v>
      </c>
      <c r="E750" t="s">
        <v>4</v>
      </c>
      <c r="F750">
        <v>0.78</v>
      </c>
      <c r="G750">
        <v>0.13</v>
      </c>
      <c r="H750" t="s">
        <v>20</v>
      </c>
      <c r="I750" s="1">
        <v>1.79</v>
      </c>
      <c r="J750" s="1">
        <v>1.69</v>
      </c>
      <c r="K750" t="s">
        <v>457</v>
      </c>
      <c r="L750" s="1">
        <v>1.86</v>
      </c>
    </row>
    <row r="751" spans="1:12">
      <c r="A751" t="s">
        <v>567</v>
      </c>
      <c r="B751">
        <v>478505</v>
      </c>
      <c r="C751" s="2" t="str">
        <f>"915CW-119"</f>
        <v>915CW-119</v>
      </c>
      <c r="D751" t="s">
        <v>777</v>
      </c>
      <c r="E751" t="s">
        <v>4</v>
      </c>
      <c r="F751">
        <v>20</v>
      </c>
      <c r="H751" t="s">
        <v>5</v>
      </c>
      <c r="I751" s="1">
        <v>178.58</v>
      </c>
      <c r="J751" s="1">
        <v>169.18</v>
      </c>
      <c r="K751" t="s">
        <v>6</v>
      </c>
    </row>
    <row r="752" spans="1:12">
      <c r="A752" t="s">
        <v>567</v>
      </c>
      <c r="B752">
        <v>380603</v>
      </c>
      <c r="C752" s="2" t="str">
        <f>"92CW-135"</f>
        <v>92CW-135</v>
      </c>
      <c r="D752" t="s">
        <v>778</v>
      </c>
      <c r="E752" t="s">
        <v>4</v>
      </c>
      <c r="F752">
        <v>1.98</v>
      </c>
      <c r="G752">
        <v>0.33</v>
      </c>
      <c r="H752" t="s">
        <v>20</v>
      </c>
      <c r="I752" s="1">
        <v>4.1100000000000003</v>
      </c>
      <c r="J752" s="1">
        <v>3.89</v>
      </c>
      <c r="K752" t="s">
        <v>457</v>
      </c>
      <c r="L752" s="1">
        <v>4.28</v>
      </c>
    </row>
    <row r="753" spans="1:12">
      <c r="A753" t="s">
        <v>567</v>
      </c>
      <c r="B753">
        <v>431288</v>
      </c>
      <c r="C753" s="2" t="str">
        <f>"94CW-110"</f>
        <v>94CW-110</v>
      </c>
      <c r="D753" t="s">
        <v>779</v>
      </c>
      <c r="E753" t="s">
        <v>4</v>
      </c>
      <c r="F753">
        <v>1.74</v>
      </c>
      <c r="G753">
        <v>0.28999999999999998</v>
      </c>
      <c r="H753" t="s">
        <v>20</v>
      </c>
      <c r="I753" s="1">
        <v>5.01</v>
      </c>
      <c r="J753" s="1">
        <v>4.7300000000000004</v>
      </c>
      <c r="K753" t="s">
        <v>457</v>
      </c>
      <c r="L753" s="1">
        <v>5.21</v>
      </c>
    </row>
    <row r="754" spans="1:12">
      <c r="A754" t="s">
        <v>567</v>
      </c>
      <c r="B754">
        <v>380604</v>
      </c>
      <c r="C754" s="2" t="str">
        <f>"94CW-135"</f>
        <v>94CW-135</v>
      </c>
      <c r="D754" t="s">
        <v>780</v>
      </c>
      <c r="E754" t="s">
        <v>4</v>
      </c>
      <c r="F754">
        <v>1.74</v>
      </c>
      <c r="G754">
        <v>0.28999999999999998</v>
      </c>
      <c r="H754" t="s">
        <v>20</v>
      </c>
      <c r="I754" s="1">
        <v>5.01</v>
      </c>
      <c r="J754" s="1">
        <v>4.7300000000000004</v>
      </c>
      <c r="K754" t="s">
        <v>457</v>
      </c>
      <c r="L754" s="1">
        <v>5.21</v>
      </c>
    </row>
    <row r="755" spans="1:12">
      <c r="A755" t="s">
        <v>567</v>
      </c>
      <c r="B755">
        <v>367973</v>
      </c>
      <c r="C755" s="2" t="str">
        <f>"950P-152"</f>
        <v>950P-152</v>
      </c>
      <c r="D755" t="s">
        <v>781</v>
      </c>
      <c r="E755" t="s">
        <v>4</v>
      </c>
      <c r="F755">
        <v>9.75</v>
      </c>
      <c r="H755" t="s">
        <v>5</v>
      </c>
      <c r="I755" s="1">
        <v>60.46</v>
      </c>
      <c r="J755" s="1">
        <v>57.28</v>
      </c>
      <c r="K755" t="s">
        <v>6</v>
      </c>
    </row>
    <row r="756" spans="1:12">
      <c r="A756" t="s">
        <v>567</v>
      </c>
      <c r="B756">
        <v>368218</v>
      </c>
      <c r="C756" s="2" t="str">
        <f>"950P-153"</f>
        <v>950P-153</v>
      </c>
      <c r="D756" t="s">
        <v>782</v>
      </c>
      <c r="E756" t="s">
        <v>4</v>
      </c>
      <c r="F756">
        <v>9.75</v>
      </c>
      <c r="H756" t="s">
        <v>5</v>
      </c>
      <c r="I756" s="1">
        <v>60.46</v>
      </c>
      <c r="J756" s="1">
        <v>57.28</v>
      </c>
      <c r="K756" t="s">
        <v>6</v>
      </c>
    </row>
    <row r="757" spans="1:12">
      <c r="A757" t="s">
        <v>567</v>
      </c>
      <c r="B757">
        <v>369882</v>
      </c>
      <c r="C757" s="2" t="str">
        <f>"950P2-152"</f>
        <v>950P2-152</v>
      </c>
      <c r="D757" t="s">
        <v>783</v>
      </c>
      <c r="E757" t="s">
        <v>4</v>
      </c>
      <c r="F757">
        <v>3.25</v>
      </c>
      <c r="H757" t="s">
        <v>5</v>
      </c>
      <c r="I757" s="1">
        <v>21.93</v>
      </c>
      <c r="J757" s="1">
        <v>20.77</v>
      </c>
      <c r="K757" t="s">
        <v>6</v>
      </c>
    </row>
    <row r="758" spans="1:12">
      <c r="A758" t="s">
        <v>567</v>
      </c>
      <c r="B758">
        <v>380605</v>
      </c>
      <c r="C758" s="2" t="str">
        <f>"950P2-153"</f>
        <v>950P2-153</v>
      </c>
      <c r="D758" t="s">
        <v>784</v>
      </c>
      <c r="E758" t="s">
        <v>4</v>
      </c>
      <c r="F758">
        <v>3.25</v>
      </c>
      <c r="H758" t="s">
        <v>5</v>
      </c>
      <c r="I758" s="1">
        <v>21.93</v>
      </c>
      <c r="J758" s="1">
        <v>20.77</v>
      </c>
      <c r="K758" t="s">
        <v>6</v>
      </c>
    </row>
    <row r="759" spans="1:12">
      <c r="A759" t="s">
        <v>567</v>
      </c>
      <c r="B759">
        <v>380606</v>
      </c>
      <c r="C759" s="2" t="str">
        <f>"96SKRC-135"</f>
        <v>96SKRC-135</v>
      </c>
      <c r="D759" t="s">
        <v>785</v>
      </c>
      <c r="E759" t="s">
        <v>4</v>
      </c>
      <c r="F759">
        <v>3.24</v>
      </c>
      <c r="G759">
        <v>0.27</v>
      </c>
      <c r="H759" t="s">
        <v>106</v>
      </c>
      <c r="I759" s="1">
        <v>3.52</v>
      </c>
      <c r="J759" s="1">
        <v>3.33</v>
      </c>
      <c r="K759" t="s">
        <v>457</v>
      </c>
      <c r="L759" s="1">
        <v>3.66</v>
      </c>
    </row>
    <row r="760" spans="1:12">
      <c r="A760" t="s">
        <v>567</v>
      </c>
      <c r="B760">
        <v>380607</v>
      </c>
      <c r="C760" s="2" t="str">
        <f>"96SKRD-135"</f>
        <v>96SKRD-135</v>
      </c>
      <c r="D760" t="s">
        <v>786</v>
      </c>
      <c r="E760" t="s">
        <v>4</v>
      </c>
      <c r="F760">
        <v>3.24</v>
      </c>
      <c r="G760">
        <v>0.27</v>
      </c>
      <c r="H760" t="s">
        <v>106</v>
      </c>
      <c r="I760" s="1">
        <v>3.52</v>
      </c>
      <c r="J760" s="1">
        <v>3.33</v>
      </c>
      <c r="K760" t="s">
        <v>457</v>
      </c>
      <c r="L760" s="1">
        <v>3.66</v>
      </c>
    </row>
    <row r="761" spans="1:12">
      <c r="A761" t="s">
        <v>567</v>
      </c>
      <c r="B761">
        <v>458177</v>
      </c>
      <c r="C761" s="2" t="str">
        <f>"9S638-151"</f>
        <v>9S638-151</v>
      </c>
      <c r="D761" t="s">
        <v>787</v>
      </c>
      <c r="E761" t="s">
        <v>4</v>
      </c>
      <c r="F761">
        <v>23.49</v>
      </c>
      <c r="G761">
        <v>7.83</v>
      </c>
      <c r="H761" t="s">
        <v>189</v>
      </c>
      <c r="I761" s="1">
        <v>49.62</v>
      </c>
      <c r="J761" s="1">
        <v>47.01</v>
      </c>
      <c r="K761" t="s">
        <v>457</v>
      </c>
      <c r="L761" s="1">
        <v>51.71</v>
      </c>
    </row>
    <row r="762" spans="1:12">
      <c r="A762" t="s">
        <v>567</v>
      </c>
      <c r="B762">
        <v>470604</v>
      </c>
      <c r="C762" s="2" t="str">
        <f>"ADCS-110"</f>
        <v>ADCS-110</v>
      </c>
      <c r="D762" t="s">
        <v>788</v>
      </c>
      <c r="E762" t="s">
        <v>4</v>
      </c>
      <c r="F762">
        <v>128</v>
      </c>
      <c r="H762" t="s">
        <v>5</v>
      </c>
      <c r="I762" s="1">
        <v>793.49</v>
      </c>
      <c r="J762" s="1">
        <v>751.73</v>
      </c>
      <c r="K762" t="s">
        <v>6</v>
      </c>
    </row>
    <row r="763" spans="1:12">
      <c r="A763" t="s">
        <v>567</v>
      </c>
      <c r="B763">
        <v>423444</v>
      </c>
      <c r="C763" s="2" t="str">
        <f>"BC331KD-110"</f>
        <v>BC331KD-110</v>
      </c>
      <c r="D763" t="s">
        <v>789</v>
      </c>
      <c r="E763" t="s">
        <v>4</v>
      </c>
      <c r="F763">
        <v>29.2</v>
      </c>
      <c r="H763" t="s">
        <v>5</v>
      </c>
      <c r="I763" s="1">
        <v>121.03</v>
      </c>
      <c r="J763" s="1">
        <v>114.66</v>
      </c>
      <c r="K763" t="s">
        <v>6</v>
      </c>
    </row>
    <row r="764" spans="1:12">
      <c r="A764" t="s">
        <v>567</v>
      </c>
      <c r="B764">
        <v>421575</v>
      </c>
      <c r="C764" s="2" t="str">
        <f>"BC331KD-480"</f>
        <v>BC331KD-480</v>
      </c>
      <c r="D764" t="s">
        <v>790</v>
      </c>
      <c r="E764" t="s">
        <v>4</v>
      </c>
      <c r="F764">
        <v>29.2</v>
      </c>
      <c r="H764" t="s">
        <v>5</v>
      </c>
      <c r="I764" s="1">
        <v>121.03</v>
      </c>
      <c r="J764" s="1">
        <v>114.66</v>
      </c>
      <c r="K764" t="s">
        <v>6</v>
      </c>
    </row>
    <row r="765" spans="1:12">
      <c r="A765" t="s">
        <v>567</v>
      </c>
      <c r="B765">
        <v>423451</v>
      </c>
      <c r="C765" s="2" t="str">
        <f>"BC331KDSH-110"</f>
        <v>BC331KDSH-110</v>
      </c>
      <c r="D765" t="s">
        <v>791</v>
      </c>
      <c r="E765" t="s">
        <v>4</v>
      </c>
      <c r="F765">
        <v>2.04</v>
      </c>
      <c r="H765" t="s">
        <v>5</v>
      </c>
      <c r="I765" s="1">
        <v>28.41</v>
      </c>
      <c r="J765" s="1">
        <v>26.91</v>
      </c>
      <c r="K765" t="s">
        <v>6</v>
      </c>
    </row>
    <row r="766" spans="1:12">
      <c r="A766" t="s">
        <v>567</v>
      </c>
      <c r="B766">
        <v>423448</v>
      </c>
      <c r="C766" s="2" t="str">
        <f>"BC331KDTC110"</f>
        <v>BC331KDTC110</v>
      </c>
      <c r="D766" t="s">
        <v>792</v>
      </c>
      <c r="E766" t="s">
        <v>4</v>
      </c>
      <c r="F766">
        <v>5</v>
      </c>
      <c r="H766" t="s">
        <v>5</v>
      </c>
      <c r="I766" s="1">
        <v>49.4</v>
      </c>
      <c r="J766" s="1">
        <v>46.8</v>
      </c>
      <c r="K766" t="s">
        <v>6</v>
      </c>
    </row>
    <row r="767" spans="1:12">
      <c r="A767" t="s">
        <v>567</v>
      </c>
      <c r="B767">
        <v>446608</v>
      </c>
      <c r="C767" s="2" t="str">
        <f>"BC340KD480"</f>
        <v>BC340KD480</v>
      </c>
      <c r="D767" t="s">
        <v>793</v>
      </c>
      <c r="E767" t="s">
        <v>4</v>
      </c>
      <c r="F767">
        <v>39</v>
      </c>
      <c r="H767" t="s">
        <v>5</v>
      </c>
      <c r="I767" s="1">
        <v>180.31</v>
      </c>
      <c r="J767" s="1">
        <v>170.82</v>
      </c>
      <c r="K767" t="s">
        <v>6</v>
      </c>
    </row>
    <row r="768" spans="1:12">
      <c r="A768" t="s">
        <v>567</v>
      </c>
      <c r="B768">
        <v>396805</v>
      </c>
      <c r="C768" s="2" t="str">
        <f>"BCT1014-119"</f>
        <v>BCT1014-119</v>
      </c>
      <c r="D768" t="s">
        <v>794</v>
      </c>
      <c r="E768" t="s">
        <v>4</v>
      </c>
      <c r="F768">
        <v>18.75</v>
      </c>
      <c r="H768" t="s">
        <v>5</v>
      </c>
      <c r="I768" s="1">
        <v>147.46</v>
      </c>
      <c r="J768" s="1">
        <v>139.69999999999999</v>
      </c>
      <c r="K768" t="s">
        <v>6</v>
      </c>
    </row>
    <row r="769" spans="1:12">
      <c r="A769" t="s">
        <v>567</v>
      </c>
      <c r="B769">
        <v>396802</v>
      </c>
      <c r="C769" s="2" t="str">
        <f>"BCT1014-186"</f>
        <v>BCT1014-186</v>
      </c>
      <c r="D769" t="s">
        <v>795</v>
      </c>
      <c r="E769" t="s">
        <v>4</v>
      </c>
      <c r="F769">
        <v>18.75</v>
      </c>
      <c r="H769" t="s">
        <v>5</v>
      </c>
      <c r="I769" s="1">
        <v>147.46</v>
      </c>
      <c r="J769" s="1">
        <v>139.69999999999999</v>
      </c>
      <c r="K769" t="s">
        <v>6</v>
      </c>
    </row>
    <row r="770" spans="1:12">
      <c r="A770" t="s">
        <v>567</v>
      </c>
      <c r="B770">
        <v>389252</v>
      </c>
      <c r="C770" s="2" t="str">
        <f>"BR258151"</f>
        <v>BR258151</v>
      </c>
      <c r="D770" t="s">
        <v>796</v>
      </c>
      <c r="E770" t="s">
        <v>4</v>
      </c>
      <c r="F770">
        <v>19.5</v>
      </c>
      <c r="G770">
        <v>3.25</v>
      </c>
      <c r="H770" t="s">
        <v>20</v>
      </c>
      <c r="I770" s="1">
        <v>20.81</v>
      </c>
      <c r="J770" s="1">
        <v>19.72</v>
      </c>
      <c r="K770" t="s">
        <v>457</v>
      </c>
      <c r="L770" s="1">
        <v>21.69</v>
      </c>
    </row>
    <row r="771" spans="1:12">
      <c r="A771" t="s">
        <v>567</v>
      </c>
      <c r="B771">
        <v>380609</v>
      </c>
      <c r="C771" s="2" t="str">
        <f>"CC32-148"</f>
        <v>CC32-148</v>
      </c>
      <c r="D771" t="s">
        <v>797</v>
      </c>
      <c r="E771" t="s">
        <v>4</v>
      </c>
      <c r="F771">
        <v>30</v>
      </c>
      <c r="H771" t="s">
        <v>5</v>
      </c>
      <c r="I771" s="1">
        <v>358.15</v>
      </c>
      <c r="J771" s="1">
        <v>339.3</v>
      </c>
      <c r="K771" t="s">
        <v>6</v>
      </c>
    </row>
    <row r="772" spans="1:12">
      <c r="A772" t="s">
        <v>567</v>
      </c>
      <c r="B772">
        <v>393208</v>
      </c>
      <c r="C772" s="2" t="str">
        <f>"CD400-110"</f>
        <v>CD400-110</v>
      </c>
      <c r="D772" t="s">
        <v>798</v>
      </c>
      <c r="E772" t="s">
        <v>4</v>
      </c>
      <c r="F772">
        <v>16</v>
      </c>
      <c r="H772" t="s">
        <v>5</v>
      </c>
      <c r="I772" s="1">
        <v>206.86</v>
      </c>
      <c r="J772" s="1">
        <v>195.98</v>
      </c>
      <c r="K772" t="s">
        <v>6</v>
      </c>
    </row>
    <row r="773" spans="1:12">
      <c r="A773" t="s">
        <v>567</v>
      </c>
      <c r="B773">
        <v>431353</v>
      </c>
      <c r="C773" s="2" t="str">
        <f>"CFR18-148"</f>
        <v>CFR18-148</v>
      </c>
      <c r="D773" t="s">
        <v>799</v>
      </c>
      <c r="E773" t="s">
        <v>4</v>
      </c>
      <c r="F773">
        <v>3</v>
      </c>
      <c r="H773" t="s">
        <v>5</v>
      </c>
      <c r="I773" s="1">
        <v>19.73</v>
      </c>
      <c r="J773" s="1">
        <v>18.690000000000001</v>
      </c>
      <c r="K773" t="s">
        <v>6</v>
      </c>
    </row>
    <row r="774" spans="1:12">
      <c r="A774" t="s">
        <v>567</v>
      </c>
      <c r="B774">
        <v>432147</v>
      </c>
      <c r="C774" s="2" t="str">
        <f>"CFRC18135"</f>
        <v>CFRC18135</v>
      </c>
      <c r="D774" t="s">
        <v>800</v>
      </c>
      <c r="E774" t="s">
        <v>4</v>
      </c>
      <c r="F774">
        <v>0.5</v>
      </c>
      <c r="H774" t="s">
        <v>5</v>
      </c>
      <c r="I774" s="1">
        <v>21.98</v>
      </c>
      <c r="J774" s="1">
        <v>20.83</v>
      </c>
      <c r="K774" t="s">
        <v>6</v>
      </c>
    </row>
    <row r="775" spans="1:12">
      <c r="A775" t="s">
        <v>567</v>
      </c>
      <c r="B775">
        <v>501194</v>
      </c>
      <c r="C775" s="2" t="str">
        <f>"CL900P190"</f>
        <v>CL900P190</v>
      </c>
      <c r="D775" t="s">
        <v>801</v>
      </c>
      <c r="E775" t="s">
        <v>4</v>
      </c>
      <c r="F775">
        <v>4</v>
      </c>
      <c r="H775" t="s">
        <v>5</v>
      </c>
      <c r="I775" s="1">
        <v>49.58</v>
      </c>
      <c r="J775" s="1">
        <v>48.61</v>
      </c>
      <c r="K775" t="s">
        <v>6</v>
      </c>
    </row>
    <row r="776" spans="1:12">
      <c r="A776" t="s">
        <v>567</v>
      </c>
      <c r="B776">
        <v>501193</v>
      </c>
      <c r="C776" s="2" t="str">
        <f>"CL950P190"</f>
        <v>CL950P190</v>
      </c>
      <c r="D776" t="s">
        <v>802</v>
      </c>
      <c r="E776" t="s">
        <v>4</v>
      </c>
      <c r="F776">
        <v>4</v>
      </c>
      <c r="H776" t="s">
        <v>5</v>
      </c>
      <c r="I776" s="1">
        <v>36.17</v>
      </c>
      <c r="J776" s="1">
        <v>35.450000000000003</v>
      </c>
      <c r="K776" t="s">
        <v>6</v>
      </c>
    </row>
    <row r="777" spans="1:12">
      <c r="A777" t="s">
        <v>567</v>
      </c>
      <c r="B777">
        <v>501208</v>
      </c>
      <c r="C777" s="2" t="str">
        <f>"CLDHB9190"</f>
        <v>CLDHB9190</v>
      </c>
      <c r="D777" t="s">
        <v>803</v>
      </c>
      <c r="E777" t="s">
        <v>4</v>
      </c>
      <c r="F777">
        <v>5</v>
      </c>
      <c r="H777" t="s">
        <v>5</v>
      </c>
      <c r="I777" s="1">
        <v>42.6</v>
      </c>
      <c r="J777" s="1">
        <v>41.77</v>
      </c>
      <c r="K777" t="s">
        <v>6</v>
      </c>
    </row>
    <row r="778" spans="1:12">
      <c r="A778" t="s">
        <v>567</v>
      </c>
      <c r="B778">
        <v>501202</v>
      </c>
      <c r="C778" s="2" t="str">
        <f>"CLDHMT8190"</f>
        <v>CLDHMT8190</v>
      </c>
      <c r="D778" t="s">
        <v>804</v>
      </c>
      <c r="E778" t="s">
        <v>4</v>
      </c>
      <c r="F778">
        <v>6</v>
      </c>
      <c r="H778" t="s">
        <v>5</v>
      </c>
      <c r="I778" s="1">
        <v>48.18</v>
      </c>
      <c r="J778" s="1">
        <v>47.24</v>
      </c>
      <c r="K778" t="s">
        <v>6</v>
      </c>
    </row>
    <row r="779" spans="1:12">
      <c r="A779" t="s">
        <v>567</v>
      </c>
      <c r="B779">
        <v>501188</v>
      </c>
      <c r="C779" s="2" t="str">
        <f>"CLJ6190"</f>
        <v>CLJ6190</v>
      </c>
      <c r="D779" t="s">
        <v>805</v>
      </c>
      <c r="E779" t="s">
        <v>4</v>
      </c>
      <c r="F779">
        <v>2</v>
      </c>
      <c r="H779" t="s">
        <v>5</v>
      </c>
      <c r="I779" s="1">
        <v>33.770000000000003</v>
      </c>
      <c r="J779" s="1">
        <v>33.11</v>
      </c>
      <c r="K779" t="s">
        <v>6</v>
      </c>
    </row>
    <row r="780" spans="1:12">
      <c r="A780" t="s">
        <v>567</v>
      </c>
      <c r="B780">
        <v>501212</v>
      </c>
      <c r="C780" s="2" t="str">
        <f>"CLLT10-190"</f>
        <v>CLLT10-190</v>
      </c>
      <c r="D780" t="s">
        <v>806</v>
      </c>
      <c r="E780" t="s">
        <v>4</v>
      </c>
      <c r="F780">
        <v>5</v>
      </c>
      <c r="H780" t="s">
        <v>5</v>
      </c>
      <c r="I780" s="1">
        <v>43.11</v>
      </c>
      <c r="J780" s="1">
        <v>42.27</v>
      </c>
      <c r="K780" t="s">
        <v>6</v>
      </c>
    </row>
    <row r="781" spans="1:12">
      <c r="A781" t="s">
        <v>567</v>
      </c>
      <c r="B781">
        <v>501200</v>
      </c>
      <c r="C781" s="2" t="str">
        <f>"CLLT12190"</f>
        <v>CLLT12190</v>
      </c>
      <c r="D781" t="s">
        <v>807</v>
      </c>
      <c r="E781" t="s">
        <v>4</v>
      </c>
      <c r="F781">
        <v>6</v>
      </c>
      <c r="H781" t="s">
        <v>5</v>
      </c>
      <c r="I781" s="1">
        <v>49.58</v>
      </c>
      <c r="J781" s="1">
        <v>48.61</v>
      </c>
      <c r="K781" t="s">
        <v>6</v>
      </c>
    </row>
    <row r="782" spans="1:12">
      <c r="A782" t="s">
        <v>567</v>
      </c>
      <c r="B782">
        <v>501197</v>
      </c>
      <c r="C782" s="2" t="str">
        <f>"CLLT6190"</f>
        <v>CLLT6190</v>
      </c>
      <c r="D782" t="s">
        <v>808</v>
      </c>
      <c r="E782" t="s">
        <v>4</v>
      </c>
      <c r="F782">
        <v>4</v>
      </c>
      <c r="H782" t="s">
        <v>5</v>
      </c>
      <c r="I782" s="1">
        <v>55.91</v>
      </c>
      <c r="J782" s="1">
        <v>54.82</v>
      </c>
      <c r="K782" t="s">
        <v>6</v>
      </c>
    </row>
    <row r="783" spans="1:12">
      <c r="A783" t="s">
        <v>567</v>
      </c>
      <c r="B783">
        <v>523338</v>
      </c>
      <c r="C783" s="2" t="str">
        <f>"CLLT8190"</f>
        <v>CLLT8190</v>
      </c>
      <c r="D783" t="s">
        <v>809</v>
      </c>
      <c r="E783" t="s">
        <v>4</v>
      </c>
      <c r="F783">
        <v>7</v>
      </c>
      <c r="H783" t="s">
        <v>5</v>
      </c>
      <c r="I783" s="1">
        <v>87.53</v>
      </c>
      <c r="J783" s="1">
        <v>82.93</v>
      </c>
      <c r="K783" t="s">
        <v>6</v>
      </c>
    </row>
    <row r="784" spans="1:12">
      <c r="A784" t="s">
        <v>567</v>
      </c>
      <c r="B784">
        <v>501211</v>
      </c>
      <c r="C784" s="2" t="str">
        <f>"CLNT10190"</f>
        <v>CLNT10190</v>
      </c>
      <c r="D784" t="s">
        <v>810</v>
      </c>
      <c r="E784" t="s">
        <v>4</v>
      </c>
      <c r="F784">
        <v>5</v>
      </c>
      <c r="H784" t="s">
        <v>5</v>
      </c>
      <c r="I784" s="1">
        <v>45.27</v>
      </c>
      <c r="J784" s="1">
        <v>44.38</v>
      </c>
      <c r="K784" t="s">
        <v>6</v>
      </c>
    </row>
    <row r="785" spans="1:12">
      <c r="A785" t="s">
        <v>567</v>
      </c>
      <c r="B785">
        <v>501199</v>
      </c>
      <c r="C785" s="2" t="str">
        <f>"CLNT12190"</f>
        <v>CLNT12190</v>
      </c>
      <c r="D785" t="s">
        <v>811</v>
      </c>
      <c r="E785" t="s">
        <v>4</v>
      </c>
      <c r="F785">
        <v>5</v>
      </c>
      <c r="H785" t="s">
        <v>5</v>
      </c>
      <c r="I785" s="1">
        <v>49.58</v>
      </c>
      <c r="J785" s="1">
        <v>48.61</v>
      </c>
      <c r="K785" t="s">
        <v>6</v>
      </c>
    </row>
    <row r="786" spans="1:12">
      <c r="A786" t="s">
        <v>567</v>
      </c>
      <c r="B786">
        <v>501196</v>
      </c>
      <c r="C786" s="2" t="str">
        <f>"CLNT5190"</f>
        <v>CLNT5190</v>
      </c>
      <c r="D786" t="s">
        <v>812</v>
      </c>
      <c r="E786" t="s">
        <v>4</v>
      </c>
      <c r="F786">
        <v>4</v>
      </c>
      <c r="H786" t="s">
        <v>5</v>
      </c>
      <c r="I786" s="1">
        <v>55.91</v>
      </c>
      <c r="J786" s="1">
        <v>54.82</v>
      </c>
      <c r="K786" t="s">
        <v>6</v>
      </c>
    </row>
    <row r="787" spans="1:12">
      <c r="A787" t="s">
        <v>567</v>
      </c>
      <c r="B787">
        <v>501191</v>
      </c>
      <c r="C787" s="2" t="str">
        <f>"CLNT8190"</f>
        <v>CLNT8190</v>
      </c>
      <c r="D787" t="s">
        <v>813</v>
      </c>
      <c r="E787" t="s">
        <v>4</v>
      </c>
      <c r="F787">
        <v>3</v>
      </c>
      <c r="H787" t="s">
        <v>5</v>
      </c>
      <c r="I787" s="1">
        <v>35.299999999999997</v>
      </c>
      <c r="J787" s="1">
        <v>34.61</v>
      </c>
      <c r="K787" t="s">
        <v>6</v>
      </c>
    </row>
    <row r="788" spans="1:12">
      <c r="A788" t="s">
        <v>567</v>
      </c>
      <c r="B788">
        <v>501209</v>
      </c>
      <c r="C788" s="2" t="str">
        <f>"CLSB9190"</f>
        <v>CLSB9190</v>
      </c>
      <c r="D788" t="s">
        <v>814</v>
      </c>
      <c r="E788" t="s">
        <v>4</v>
      </c>
      <c r="F788">
        <v>7</v>
      </c>
      <c r="H788" t="s">
        <v>5</v>
      </c>
      <c r="I788" s="1">
        <v>41.54</v>
      </c>
      <c r="J788" s="1">
        <v>40.729999999999997</v>
      </c>
      <c r="K788" t="s">
        <v>6</v>
      </c>
    </row>
    <row r="789" spans="1:12">
      <c r="A789" t="s">
        <v>567</v>
      </c>
      <c r="B789">
        <v>501204</v>
      </c>
      <c r="C789" s="2" t="str">
        <f>"CLSM8B5190"</f>
        <v>CLSM8B5190</v>
      </c>
      <c r="D789" t="s">
        <v>815</v>
      </c>
      <c r="E789" t="s">
        <v>4</v>
      </c>
      <c r="F789">
        <v>8</v>
      </c>
      <c r="H789" t="s">
        <v>5</v>
      </c>
      <c r="I789" s="1">
        <v>49.53</v>
      </c>
      <c r="J789" s="1">
        <v>48.56</v>
      </c>
      <c r="K789" t="s">
        <v>6</v>
      </c>
    </row>
    <row r="790" spans="1:12">
      <c r="A790" t="s">
        <v>567</v>
      </c>
      <c r="B790">
        <v>501206</v>
      </c>
      <c r="C790" s="2" t="str">
        <f>"CLSRB5-152"</f>
        <v>CLSRB5-152</v>
      </c>
      <c r="D790" t="s">
        <v>816</v>
      </c>
      <c r="E790" t="s">
        <v>4</v>
      </c>
      <c r="F790">
        <v>11</v>
      </c>
      <c r="H790" t="s">
        <v>5</v>
      </c>
      <c r="I790" s="1">
        <v>74.28</v>
      </c>
      <c r="J790" s="1">
        <v>72.83</v>
      </c>
      <c r="K790" t="s">
        <v>6</v>
      </c>
    </row>
    <row r="791" spans="1:12">
      <c r="A791" t="s">
        <v>567</v>
      </c>
      <c r="B791">
        <v>501203</v>
      </c>
      <c r="C791" s="2" t="str">
        <f>"CLSSM8B5148"</f>
        <v>CLSSM8B5148</v>
      </c>
      <c r="D791" t="s">
        <v>817</v>
      </c>
      <c r="E791" t="s">
        <v>4</v>
      </c>
      <c r="F791">
        <v>8</v>
      </c>
      <c r="H791" t="s">
        <v>5</v>
      </c>
      <c r="I791" s="1">
        <v>41.54</v>
      </c>
      <c r="J791" s="1">
        <v>40.729999999999997</v>
      </c>
      <c r="K791" t="s">
        <v>6</v>
      </c>
    </row>
    <row r="792" spans="1:12">
      <c r="A792" t="s">
        <v>567</v>
      </c>
      <c r="B792">
        <v>501192</v>
      </c>
      <c r="C792" s="2" t="str">
        <f>"CLST6190"</f>
        <v>CLST6190</v>
      </c>
      <c r="D792" t="s">
        <v>818</v>
      </c>
      <c r="E792" t="s">
        <v>4</v>
      </c>
      <c r="F792">
        <v>3</v>
      </c>
      <c r="H792" t="s">
        <v>5</v>
      </c>
      <c r="I792" s="1">
        <v>35.299999999999997</v>
      </c>
      <c r="J792" s="1">
        <v>34.61</v>
      </c>
      <c r="K792" t="s">
        <v>6</v>
      </c>
    </row>
    <row r="793" spans="1:12">
      <c r="A793" t="s">
        <v>567</v>
      </c>
      <c r="B793">
        <v>381675</v>
      </c>
      <c r="C793" s="2" t="str">
        <f>"CP12-133"</f>
        <v>CP12-133</v>
      </c>
      <c r="D793" t="s">
        <v>819</v>
      </c>
      <c r="E793" t="s">
        <v>4</v>
      </c>
      <c r="F793">
        <v>10.44</v>
      </c>
      <c r="G793">
        <v>0.87</v>
      </c>
      <c r="H793" t="s">
        <v>106</v>
      </c>
      <c r="I793" s="1">
        <v>5.0999999999999996</v>
      </c>
      <c r="J793" s="1">
        <v>4.82</v>
      </c>
      <c r="K793" t="s">
        <v>457</v>
      </c>
      <c r="L793" s="1">
        <v>5.31</v>
      </c>
    </row>
    <row r="794" spans="1:12">
      <c r="A794" t="s">
        <v>567</v>
      </c>
      <c r="B794">
        <v>384353</v>
      </c>
      <c r="C794" s="2" t="str">
        <f>"CP1220-159"</f>
        <v>CP1220-159</v>
      </c>
      <c r="D794" t="s">
        <v>820</v>
      </c>
      <c r="E794" t="s">
        <v>4</v>
      </c>
      <c r="F794">
        <v>11</v>
      </c>
      <c r="H794" t="s">
        <v>5</v>
      </c>
      <c r="I794" s="1">
        <v>80.28</v>
      </c>
      <c r="J794" s="1">
        <v>76.05</v>
      </c>
      <c r="K794" t="s">
        <v>6</v>
      </c>
    </row>
    <row r="795" spans="1:12">
      <c r="A795" t="s">
        <v>567</v>
      </c>
      <c r="B795">
        <v>381674</v>
      </c>
      <c r="C795" s="2" t="str">
        <f>"CP27-133"</f>
        <v>CP27-133</v>
      </c>
      <c r="D795" t="s">
        <v>821</v>
      </c>
      <c r="E795" t="s">
        <v>4</v>
      </c>
      <c r="F795">
        <v>6.96</v>
      </c>
      <c r="G795">
        <v>1.1599999999999999</v>
      </c>
      <c r="H795" t="s">
        <v>20</v>
      </c>
      <c r="I795" s="1">
        <v>7.23</v>
      </c>
      <c r="J795" s="1">
        <v>6.84</v>
      </c>
      <c r="K795" t="s">
        <v>457</v>
      </c>
      <c r="L795" s="1">
        <v>7.52</v>
      </c>
    </row>
    <row r="796" spans="1:12">
      <c r="A796" t="s">
        <v>567</v>
      </c>
      <c r="B796">
        <v>380053</v>
      </c>
      <c r="C796" s="2" t="str">
        <f>"CSU44487480"</f>
        <v>CSU44487480</v>
      </c>
      <c r="D796" t="s">
        <v>822</v>
      </c>
      <c r="E796" t="s">
        <v>4</v>
      </c>
      <c r="F796">
        <v>106.5</v>
      </c>
      <c r="H796" t="s">
        <v>5</v>
      </c>
      <c r="I796" s="1">
        <v>471.59</v>
      </c>
      <c r="J796" s="1">
        <v>446.76</v>
      </c>
      <c r="K796" t="s">
        <v>6</v>
      </c>
    </row>
    <row r="797" spans="1:12">
      <c r="A797" t="s">
        <v>567</v>
      </c>
      <c r="B797">
        <v>380054</v>
      </c>
      <c r="C797" s="2" t="str">
        <f>"CSU44607480"</f>
        <v>CSU44607480</v>
      </c>
      <c r="D797" t="s">
        <v>823</v>
      </c>
      <c r="E797" t="s">
        <v>4</v>
      </c>
      <c r="F797">
        <v>121.78</v>
      </c>
      <c r="H797" t="s">
        <v>5</v>
      </c>
      <c r="I797" s="1">
        <v>541.85</v>
      </c>
      <c r="J797" s="1">
        <v>513.34</v>
      </c>
      <c r="K797" t="s">
        <v>6</v>
      </c>
    </row>
    <row r="798" spans="1:12">
      <c r="A798" t="s">
        <v>567</v>
      </c>
      <c r="B798">
        <v>458976</v>
      </c>
      <c r="C798" s="2" t="str">
        <f>"CSWS1848SK480"</f>
        <v>CSWS1848SK480</v>
      </c>
      <c r="D798" t="s">
        <v>824</v>
      </c>
      <c r="E798" t="s">
        <v>4</v>
      </c>
      <c r="F798">
        <v>15</v>
      </c>
      <c r="H798" t="s">
        <v>5</v>
      </c>
      <c r="I798" s="1">
        <v>112.85</v>
      </c>
      <c r="J798" s="1">
        <v>106.91</v>
      </c>
      <c r="K798" t="s">
        <v>6</v>
      </c>
    </row>
    <row r="799" spans="1:12">
      <c r="A799" t="s">
        <v>567</v>
      </c>
      <c r="B799">
        <v>393072</v>
      </c>
      <c r="C799" s="2" t="str">
        <f>"DB18263CW-148"</f>
        <v>DB18263CW-148</v>
      </c>
      <c r="D799" t="s">
        <v>825</v>
      </c>
      <c r="E799" t="s">
        <v>4</v>
      </c>
      <c r="F799">
        <v>25.98</v>
      </c>
      <c r="G799">
        <v>4.33</v>
      </c>
      <c r="H799" t="s">
        <v>20</v>
      </c>
      <c r="I799" s="1">
        <v>30.41</v>
      </c>
      <c r="J799" s="1">
        <v>28.81</v>
      </c>
      <c r="K799" t="s">
        <v>457</v>
      </c>
      <c r="L799" s="1">
        <v>31.69</v>
      </c>
    </row>
    <row r="800" spans="1:12">
      <c r="A800" t="s">
        <v>567</v>
      </c>
      <c r="B800">
        <v>393063</v>
      </c>
      <c r="C800" s="2" t="str">
        <f>"DBC1826CW-148"</f>
        <v>DBC1826CW-148</v>
      </c>
      <c r="D800" t="s">
        <v>826</v>
      </c>
      <c r="E800" t="s">
        <v>4</v>
      </c>
      <c r="F800">
        <v>15</v>
      </c>
      <c r="G800">
        <v>2.5</v>
      </c>
      <c r="H800" t="s">
        <v>20</v>
      </c>
      <c r="I800" s="1">
        <v>22.17</v>
      </c>
      <c r="J800" s="1">
        <v>21.01</v>
      </c>
      <c r="K800" t="s">
        <v>457</v>
      </c>
      <c r="L800" s="1">
        <v>23.11</v>
      </c>
    </row>
    <row r="801" spans="1:12">
      <c r="A801" t="s">
        <v>567</v>
      </c>
      <c r="B801">
        <v>423604</v>
      </c>
      <c r="C801" s="2" t="str">
        <f>"DC10-110"</f>
        <v>DC10-110</v>
      </c>
      <c r="D801" t="s">
        <v>827</v>
      </c>
      <c r="E801" t="s">
        <v>4</v>
      </c>
      <c r="F801">
        <v>7.02</v>
      </c>
      <c r="G801">
        <v>1.17</v>
      </c>
      <c r="H801" t="s">
        <v>20</v>
      </c>
      <c r="I801" s="1">
        <v>9.26</v>
      </c>
      <c r="J801" s="1">
        <v>8.7799999999999994</v>
      </c>
      <c r="K801" t="s">
        <v>21</v>
      </c>
      <c r="L801" s="1">
        <v>9.65</v>
      </c>
    </row>
    <row r="802" spans="1:12">
      <c r="A802" t="s">
        <v>567</v>
      </c>
      <c r="B802">
        <v>423313</v>
      </c>
      <c r="C802" s="2" t="str">
        <f>"DC10-404"</f>
        <v>DC10-404</v>
      </c>
      <c r="D802" t="s">
        <v>828</v>
      </c>
      <c r="E802" t="s">
        <v>4</v>
      </c>
      <c r="F802">
        <v>6.96</v>
      </c>
      <c r="G802">
        <v>1.1599999999999999</v>
      </c>
      <c r="H802" t="s">
        <v>20</v>
      </c>
      <c r="I802" s="1">
        <v>9.26</v>
      </c>
      <c r="J802" s="1">
        <v>8.7799999999999994</v>
      </c>
      <c r="K802" t="s">
        <v>457</v>
      </c>
      <c r="L802" s="1">
        <v>9.65</v>
      </c>
    </row>
    <row r="803" spans="1:12">
      <c r="A803" t="s">
        <v>567</v>
      </c>
      <c r="B803">
        <v>423311</v>
      </c>
      <c r="C803" s="2" t="str">
        <f>"DC5-110"</f>
        <v>DC5-110</v>
      </c>
      <c r="D803" t="s">
        <v>829</v>
      </c>
      <c r="E803" t="s">
        <v>4</v>
      </c>
      <c r="F803">
        <v>4.5</v>
      </c>
      <c r="G803">
        <v>0.75</v>
      </c>
      <c r="H803" t="s">
        <v>20</v>
      </c>
      <c r="I803" s="1">
        <v>6.73</v>
      </c>
      <c r="J803" s="1">
        <v>6.37</v>
      </c>
      <c r="K803" t="s">
        <v>457</v>
      </c>
      <c r="L803" s="1">
        <v>7.01</v>
      </c>
    </row>
    <row r="804" spans="1:12">
      <c r="A804" t="s">
        <v>567</v>
      </c>
      <c r="B804">
        <v>423603</v>
      </c>
      <c r="C804" s="2" t="str">
        <f>"DC5-404"</f>
        <v>DC5-404</v>
      </c>
      <c r="D804" t="s">
        <v>830</v>
      </c>
      <c r="E804" t="s">
        <v>4</v>
      </c>
      <c r="F804">
        <v>4.5</v>
      </c>
      <c r="G804">
        <v>0.75</v>
      </c>
      <c r="H804" t="s">
        <v>20</v>
      </c>
      <c r="I804" s="1">
        <v>6.73</v>
      </c>
      <c r="J804" s="1">
        <v>6.37</v>
      </c>
      <c r="K804" t="s">
        <v>21</v>
      </c>
      <c r="L804" s="1">
        <v>7.01</v>
      </c>
    </row>
    <row r="805" spans="1:12">
      <c r="A805" t="s">
        <v>567</v>
      </c>
      <c r="B805">
        <v>423425</v>
      </c>
      <c r="C805" s="2" t="str">
        <f>"DCC10-135"</f>
        <v>DCC10-135</v>
      </c>
      <c r="D805" t="s">
        <v>831</v>
      </c>
      <c r="E805" t="s">
        <v>4</v>
      </c>
      <c r="F805">
        <v>4.9800000000000004</v>
      </c>
      <c r="G805">
        <v>0.83</v>
      </c>
      <c r="H805" t="s">
        <v>20</v>
      </c>
      <c r="I805" s="1">
        <v>6.58</v>
      </c>
      <c r="J805" s="1">
        <v>6.23</v>
      </c>
      <c r="K805" t="s">
        <v>21</v>
      </c>
      <c r="L805" s="1">
        <v>6.85</v>
      </c>
    </row>
    <row r="806" spans="1:12">
      <c r="A806" t="s">
        <v>567</v>
      </c>
      <c r="B806">
        <v>423420</v>
      </c>
      <c r="C806" s="2" t="str">
        <f>"DCC5-135"</f>
        <v>DCC5-135</v>
      </c>
      <c r="D806" t="s">
        <v>832</v>
      </c>
      <c r="E806" t="s">
        <v>4</v>
      </c>
      <c r="F806">
        <v>2.58</v>
      </c>
      <c r="G806">
        <v>0.43</v>
      </c>
      <c r="H806" t="s">
        <v>20</v>
      </c>
      <c r="I806" s="1">
        <v>4.72</v>
      </c>
      <c r="J806" s="1">
        <v>4.47</v>
      </c>
      <c r="K806" t="s">
        <v>21</v>
      </c>
      <c r="L806" s="1">
        <v>4.92</v>
      </c>
    </row>
    <row r="807" spans="1:12">
      <c r="A807" t="s">
        <v>567</v>
      </c>
      <c r="B807">
        <v>439144</v>
      </c>
      <c r="C807" s="2" t="str">
        <f>"DRS300-131"</f>
        <v>DRS300-131</v>
      </c>
      <c r="D807" t="s">
        <v>833</v>
      </c>
      <c r="E807" t="s">
        <v>4</v>
      </c>
      <c r="F807">
        <v>20</v>
      </c>
      <c r="H807" t="s">
        <v>5</v>
      </c>
      <c r="I807" s="1">
        <v>135.85</v>
      </c>
      <c r="J807" s="1">
        <v>128.69999999999999</v>
      </c>
      <c r="K807" t="s">
        <v>6</v>
      </c>
    </row>
    <row r="808" spans="1:12">
      <c r="A808" t="s">
        <v>567</v>
      </c>
      <c r="B808">
        <v>399068</v>
      </c>
      <c r="C808" s="2" t="str">
        <f>"DRS360-131"</f>
        <v>DRS360-131</v>
      </c>
      <c r="D808" t="s">
        <v>834</v>
      </c>
      <c r="E808" t="s">
        <v>4</v>
      </c>
      <c r="F808">
        <v>25</v>
      </c>
      <c r="H808" t="s">
        <v>5</v>
      </c>
      <c r="I808" s="1">
        <v>148.19999999999999</v>
      </c>
      <c r="J808" s="1">
        <v>140.4</v>
      </c>
      <c r="K808" t="s">
        <v>6</v>
      </c>
    </row>
    <row r="809" spans="1:12">
      <c r="A809" t="s">
        <v>567</v>
      </c>
      <c r="B809">
        <v>389261</v>
      </c>
      <c r="C809" s="2" t="str">
        <f>"DRS360-480"</f>
        <v>DRS360-480</v>
      </c>
      <c r="D809" t="s">
        <v>835</v>
      </c>
      <c r="E809" t="s">
        <v>4</v>
      </c>
      <c r="F809">
        <v>25</v>
      </c>
      <c r="H809" t="s">
        <v>5</v>
      </c>
      <c r="I809" s="1">
        <v>148.19999999999999</v>
      </c>
      <c r="J809" s="1">
        <v>140.4</v>
      </c>
      <c r="K809" t="s">
        <v>6</v>
      </c>
    </row>
    <row r="810" spans="1:12">
      <c r="A810" t="s">
        <v>567</v>
      </c>
      <c r="B810">
        <v>399069</v>
      </c>
      <c r="C810" s="2" t="str">
        <f>"DRS480-131"</f>
        <v>DRS480-131</v>
      </c>
      <c r="D810" t="s">
        <v>834</v>
      </c>
      <c r="E810" t="s">
        <v>4</v>
      </c>
      <c r="F810">
        <v>32.5</v>
      </c>
      <c r="H810" t="s">
        <v>5</v>
      </c>
      <c r="I810" s="1">
        <v>179.08</v>
      </c>
      <c r="J810" s="1">
        <v>169.65</v>
      </c>
      <c r="K810" t="s">
        <v>6</v>
      </c>
    </row>
    <row r="811" spans="1:12">
      <c r="A811" t="s">
        <v>567</v>
      </c>
      <c r="B811">
        <v>389262</v>
      </c>
      <c r="C811" s="2" t="str">
        <f>"DRS480-480"</f>
        <v>DRS480-480</v>
      </c>
      <c r="D811" t="s">
        <v>836</v>
      </c>
      <c r="E811" t="s">
        <v>4</v>
      </c>
      <c r="F811">
        <v>32.5</v>
      </c>
      <c r="H811" t="s">
        <v>5</v>
      </c>
      <c r="I811" s="1">
        <v>179.08</v>
      </c>
      <c r="J811" s="1">
        <v>169.65</v>
      </c>
      <c r="K811" t="s">
        <v>6</v>
      </c>
    </row>
    <row r="812" spans="1:12">
      <c r="A812" t="s">
        <v>567</v>
      </c>
      <c r="B812">
        <v>401469</v>
      </c>
      <c r="C812" s="2" t="str">
        <f>"DRS600-480"</f>
        <v>DRS600-480</v>
      </c>
      <c r="D812" t="s">
        <v>837</v>
      </c>
      <c r="E812" t="s">
        <v>4</v>
      </c>
      <c r="F812">
        <v>38</v>
      </c>
      <c r="H812" t="s">
        <v>5</v>
      </c>
      <c r="I812" s="1">
        <v>203.78</v>
      </c>
      <c r="J812" s="1">
        <v>193.05</v>
      </c>
      <c r="K812" t="s">
        <v>6</v>
      </c>
    </row>
    <row r="813" spans="1:12">
      <c r="A813" t="s">
        <v>567</v>
      </c>
      <c r="B813">
        <v>391151</v>
      </c>
      <c r="C813" s="2" t="str">
        <f>"DSPR6-148"</f>
        <v>DSPR6-148</v>
      </c>
      <c r="D813" t="s">
        <v>838</v>
      </c>
      <c r="E813" t="s">
        <v>4</v>
      </c>
      <c r="F813">
        <v>4</v>
      </c>
      <c r="H813" t="s">
        <v>5</v>
      </c>
      <c r="I813" s="1">
        <v>28</v>
      </c>
      <c r="J813" s="1">
        <v>26.53</v>
      </c>
      <c r="K813" t="s">
        <v>6</v>
      </c>
    </row>
    <row r="814" spans="1:12">
      <c r="A814" t="s">
        <v>567</v>
      </c>
      <c r="B814">
        <v>531449</v>
      </c>
      <c r="C814" s="2" t="str">
        <f>"ESU244872580"</f>
        <v>ESU244872580</v>
      </c>
      <c r="D814" t="s">
        <v>839</v>
      </c>
      <c r="E814" t="s">
        <v>4</v>
      </c>
      <c r="F814">
        <v>72.989999999999995</v>
      </c>
      <c r="H814" t="s">
        <v>5</v>
      </c>
      <c r="I814" s="1">
        <v>361.86</v>
      </c>
      <c r="J814" s="1">
        <v>342.81</v>
      </c>
      <c r="K814" t="s">
        <v>6</v>
      </c>
    </row>
    <row r="815" spans="1:12">
      <c r="A815" t="s">
        <v>567</v>
      </c>
      <c r="B815">
        <v>531450</v>
      </c>
      <c r="C815" s="2" t="str">
        <f>"ESU246072580"</f>
        <v>ESU246072580</v>
      </c>
      <c r="D815" t="s">
        <v>839</v>
      </c>
      <c r="E815" t="s">
        <v>4</v>
      </c>
      <c r="F815">
        <v>75.81</v>
      </c>
      <c r="H815" t="s">
        <v>5</v>
      </c>
      <c r="I815" s="1">
        <v>416.44</v>
      </c>
      <c r="J815" s="1">
        <v>394.52</v>
      </c>
      <c r="K815" t="s">
        <v>6</v>
      </c>
    </row>
    <row r="816" spans="1:12">
      <c r="A816" t="s">
        <v>567</v>
      </c>
      <c r="B816">
        <v>389253</v>
      </c>
      <c r="C816" s="2" t="str">
        <f>"FR258-151"</f>
        <v>FR258-151</v>
      </c>
      <c r="D816" t="s">
        <v>840</v>
      </c>
      <c r="E816" t="s">
        <v>4</v>
      </c>
      <c r="F816">
        <v>19.98</v>
      </c>
      <c r="G816">
        <v>3.33</v>
      </c>
      <c r="H816" t="s">
        <v>20</v>
      </c>
      <c r="I816" s="1">
        <v>22.41</v>
      </c>
      <c r="J816" s="1">
        <v>21.24</v>
      </c>
      <c r="K816" t="s">
        <v>457</v>
      </c>
      <c r="L816" s="1">
        <v>23.37</v>
      </c>
    </row>
    <row r="817" spans="1:12">
      <c r="A817" t="s">
        <v>567</v>
      </c>
      <c r="B817">
        <v>380059</v>
      </c>
      <c r="C817" s="2" t="str">
        <f>"GK2000-133"</f>
        <v>GK2000-133</v>
      </c>
      <c r="D817" t="s">
        <v>841</v>
      </c>
      <c r="E817" t="s">
        <v>4</v>
      </c>
      <c r="F817">
        <v>15.96</v>
      </c>
      <c r="G817">
        <v>1.33</v>
      </c>
      <c r="H817" t="s">
        <v>106</v>
      </c>
      <c r="I817" s="1">
        <v>10.74</v>
      </c>
      <c r="J817" s="1">
        <v>10.18</v>
      </c>
      <c r="K817" t="s">
        <v>457</v>
      </c>
      <c r="L817" s="1">
        <v>11.2</v>
      </c>
    </row>
    <row r="818" spans="1:12">
      <c r="A818" t="s">
        <v>567</v>
      </c>
      <c r="B818">
        <v>369918</v>
      </c>
      <c r="C818" s="2" t="str">
        <f>"HT10CW-135"</f>
        <v>HT10CW-135</v>
      </c>
      <c r="D818" t="s">
        <v>842</v>
      </c>
      <c r="E818" t="s">
        <v>4</v>
      </c>
      <c r="F818">
        <v>6.25</v>
      </c>
      <c r="H818" t="s">
        <v>5</v>
      </c>
      <c r="I818" s="1">
        <v>62.47</v>
      </c>
      <c r="J818" s="1">
        <v>59.18</v>
      </c>
      <c r="K818" t="s">
        <v>6</v>
      </c>
    </row>
    <row r="819" spans="1:12">
      <c r="A819" t="s">
        <v>567</v>
      </c>
      <c r="B819">
        <v>369843</v>
      </c>
      <c r="C819" s="2" t="str">
        <f>"HT12CW-135"</f>
        <v>HT12CW-135</v>
      </c>
      <c r="D819" t="s">
        <v>843</v>
      </c>
      <c r="E819" t="s">
        <v>4</v>
      </c>
      <c r="F819">
        <v>7.5</v>
      </c>
      <c r="H819" t="s">
        <v>5</v>
      </c>
      <c r="I819" s="1">
        <v>64.03</v>
      </c>
      <c r="J819" s="1">
        <v>60.66</v>
      </c>
      <c r="K819" t="s">
        <v>6</v>
      </c>
    </row>
    <row r="820" spans="1:12">
      <c r="A820" t="s">
        <v>567</v>
      </c>
      <c r="B820">
        <v>380061</v>
      </c>
      <c r="C820" s="2" t="str">
        <f>"HT16CW-135"</f>
        <v>HT16CW-135</v>
      </c>
      <c r="D820" t="s">
        <v>844</v>
      </c>
      <c r="E820" t="s">
        <v>4</v>
      </c>
      <c r="F820">
        <v>8.5</v>
      </c>
      <c r="H820" t="s">
        <v>5</v>
      </c>
      <c r="I820" s="1">
        <v>83.59</v>
      </c>
      <c r="J820" s="1">
        <v>79.180000000000007</v>
      </c>
      <c r="K820" t="s">
        <v>6</v>
      </c>
    </row>
    <row r="821" spans="1:12">
      <c r="A821" t="s">
        <v>567</v>
      </c>
      <c r="B821">
        <v>370014</v>
      </c>
      <c r="C821" s="2" t="str">
        <f>"HT22CW-135"</f>
        <v>HT22CW-135</v>
      </c>
      <c r="D821" t="s">
        <v>845</v>
      </c>
      <c r="E821" t="s">
        <v>4</v>
      </c>
      <c r="F821">
        <v>11</v>
      </c>
      <c r="H821" t="s">
        <v>5</v>
      </c>
      <c r="I821" s="1">
        <v>104.48</v>
      </c>
      <c r="J821" s="1">
        <v>98.98</v>
      </c>
      <c r="K821" t="s">
        <v>6</v>
      </c>
    </row>
    <row r="822" spans="1:12">
      <c r="A822" t="s">
        <v>567</v>
      </c>
      <c r="B822">
        <v>380062</v>
      </c>
      <c r="C822" s="2" t="str">
        <f>"HT8CW-135"</f>
        <v>HT8CW-135</v>
      </c>
      <c r="D822" t="s">
        <v>846</v>
      </c>
      <c r="E822" t="s">
        <v>4</v>
      </c>
      <c r="F822">
        <v>5.5</v>
      </c>
      <c r="H822" t="s">
        <v>5</v>
      </c>
      <c r="I822" s="1">
        <v>60.02</v>
      </c>
      <c r="J822" s="1">
        <v>56.86</v>
      </c>
      <c r="K822" t="s">
        <v>6</v>
      </c>
    </row>
    <row r="823" spans="1:12">
      <c r="A823" t="s">
        <v>567</v>
      </c>
      <c r="B823">
        <v>380063</v>
      </c>
      <c r="C823" s="2" t="str">
        <f>"IB32-148"</f>
        <v>IB32-148</v>
      </c>
      <c r="D823" t="s">
        <v>847</v>
      </c>
      <c r="E823" t="s">
        <v>4</v>
      </c>
      <c r="F823">
        <v>27.75</v>
      </c>
      <c r="H823" t="s">
        <v>5</v>
      </c>
      <c r="I823" s="1">
        <v>240.83</v>
      </c>
      <c r="J823" s="1">
        <v>228.15</v>
      </c>
      <c r="K823" t="s">
        <v>6</v>
      </c>
    </row>
    <row r="824" spans="1:12">
      <c r="A824" t="s">
        <v>567</v>
      </c>
      <c r="B824">
        <v>448526</v>
      </c>
      <c r="C824" s="2" t="str">
        <f>"IBS20148"</f>
        <v>IBS20148</v>
      </c>
      <c r="D824" t="s">
        <v>848</v>
      </c>
      <c r="E824" t="s">
        <v>4</v>
      </c>
      <c r="F824">
        <v>28</v>
      </c>
      <c r="H824" t="s">
        <v>5</v>
      </c>
      <c r="I824" s="1">
        <v>225.39</v>
      </c>
      <c r="J824" s="1">
        <v>213.53</v>
      </c>
      <c r="K824" t="s">
        <v>6</v>
      </c>
    </row>
    <row r="825" spans="1:12">
      <c r="A825" t="s">
        <v>567</v>
      </c>
      <c r="B825">
        <v>368899</v>
      </c>
      <c r="C825" s="2" t="str">
        <f>"IBS27-148"</f>
        <v>IBS27-148</v>
      </c>
      <c r="D825" t="s">
        <v>849</v>
      </c>
      <c r="E825" t="s">
        <v>4</v>
      </c>
      <c r="F825">
        <v>31</v>
      </c>
      <c r="H825" t="s">
        <v>5</v>
      </c>
      <c r="I825" s="1">
        <v>231.56</v>
      </c>
      <c r="J825" s="1">
        <v>219.38</v>
      </c>
      <c r="K825" t="s">
        <v>6</v>
      </c>
    </row>
    <row r="826" spans="1:12">
      <c r="A826" t="s">
        <v>567</v>
      </c>
      <c r="B826">
        <v>389263</v>
      </c>
      <c r="C826" s="2" t="str">
        <f>"IBS37-148"</f>
        <v>IBS37-148</v>
      </c>
      <c r="D826" t="s">
        <v>850</v>
      </c>
      <c r="E826" t="s">
        <v>4</v>
      </c>
      <c r="F826">
        <v>28</v>
      </c>
      <c r="H826" t="s">
        <v>5</v>
      </c>
      <c r="I826" s="1">
        <v>247</v>
      </c>
      <c r="J826" s="1">
        <v>234</v>
      </c>
      <c r="K826" t="s">
        <v>6</v>
      </c>
    </row>
    <row r="827" spans="1:12">
      <c r="A827" t="s">
        <v>567</v>
      </c>
      <c r="B827">
        <v>388040</v>
      </c>
      <c r="C827" s="2" t="str">
        <f>"LD85-135"</f>
        <v>LD85-135</v>
      </c>
      <c r="D827" t="s">
        <v>851</v>
      </c>
      <c r="E827" t="s">
        <v>4</v>
      </c>
      <c r="F827">
        <v>0.96</v>
      </c>
      <c r="G827">
        <v>0.08</v>
      </c>
      <c r="H827" t="s">
        <v>106</v>
      </c>
      <c r="I827" s="1">
        <v>2.04</v>
      </c>
      <c r="J827" s="1">
        <v>1.92</v>
      </c>
      <c r="K827" t="s">
        <v>457</v>
      </c>
      <c r="L827" s="1">
        <v>2.12</v>
      </c>
    </row>
    <row r="828" spans="1:12">
      <c r="A828" t="s">
        <v>567</v>
      </c>
      <c r="B828">
        <v>388036</v>
      </c>
      <c r="C828" s="2" t="str">
        <f>"LT10-152"</f>
        <v>LT10-152</v>
      </c>
      <c r="D828" t="s">
        <v>852</v>
      </c>
      <c r="E828" t="s">
        <v>4</v>
      </c>
      <c r="F828">
        <v>5.5</v>
      </c>
      <c r="H828" t="s">
        <v>5</v>
      </c>
      <c r="I828" s="1">
        <v>46.24</v>
      </c>
      <c r="J828" s="1">
        <v>43.81</v>
      </c>
      <c r="K828" t="s">
        <v>6</v>
      </c>
    </row>
    <row r="829" spans="1:12">
      <c r="A829" t="s">
        <v>567</v>
      </c>
      <c r="B829">
        <v>380064</v>
      </c>
      <c r="C829" s="2" t="str">
        <f>"LT12-152"</f>
        <v>LT12-152</v>
      </c>
      <c r="D829" t="s">
        <v>853</v>
      </c>
      <c r="E829" t="s">
        <v>4</v>
      </c>
      <c r="F829">
        <v>6.25</v>
      </c>
      <c r="H829" t="s">
        <v>5</v>
      </c>
      <c r="I829" s="1">
        <v>50.69</v>
      </c>
      <c r="J829" s="1">
        <v>48.02</v>
      </c>
      <c r="K829" t="s">
        <v>6</v>
      </c>
    </row>
    <row r="830" spans="1:12">
      <c r="A830" t="s">
        <v>567</v>
      </c>
      <c r="B830">
        <v>396911</v>
      </c>
      <c r="C830" s="2" t="str">
        <f>"LT14-152"</f>
        <v>LT14-152</v>
      </c>
      <c r="D830" t="s">
        <v>854</v>
      </c>
      <c r="E830" t="s">
        <v>4</v>
      </c>
      <c r="F830">
        <v>7</v>
      </c>
      <c r="H830" t="s">
        <v>5</v>
      </c>
      <c r="I830" s="1">
        <v>53.57</v>
      </c>
      <c r="J830" s="1">
        <v>50.75</v>
      </c>
      <c r="K830" t="s">
        <v>6</v>
      </c>
    </row>
    <row r="831" spans="1:12">
      <c r="A831" t="s">
        <v>567</v>
      </c>
      <c r="B831">
        <v>380069</v>
      </c>
      <c r="C831" s="2" t="str">
        <f>"LT16-152"</f>
        <v>LT16-152</v>
      </c>
      <c r="D831" t="s">
        <v>855</v>
      </c>
      <c r="E831" t="s">
        <v>4</v>
      </c>
      <c r="F831">
        <v>7.75</v>
      </c>
      <c r="H831" t="s">
        <v>5</v>
      </c>
      <c r="I831" s="1">
        <v>59.36</v>
      </c>
      <c r="J831" s="1">
        <v>56.23</v>
      </c>
      <c r="K831" t="s">
        <v>6</v>
      </c>
    </row>
    <row r="832" spans="1:12">
      <c r="A832" t="s">
        <v>567</v>
      </c>
      <c r="B832">
        <v>380071</v>
      </c>
      <c r="C832" s="2" t="str">
        <f>"LT22-152"</f>
        <v>LT22-152</v>
      </c>
      <c r="D832" t="s">
        <v>856</v>
      </c>
      <c r="E832" t="s">
        <v>4</v>
      </c>
      <c r="F832">
        <v>8.5</v>
      </c>
      <c r="H832" t="s">
        <v>5</v>
      </c>
      <c r="I832" s="1">
        <v>66.69</v>
      </c>
      <c r="J832" s="1">
        <v>63.18</v>
      </c>
      <c r="K832" t="s">
        <v>6</v>
      </c>
    </row>
    <row r="833" spans="1:11">
      <c r="A833" t="s">
        <v>567</v>
      </c>
      <c r="B833">
        <v>388035</v>
      </c>
      <c r="C833" s="2" t="str">
        <f>"LT6-152"</f>
        <v>LT6-152</v>
      </c>
      <c r="D833" t="s">
        <v>857</v>
      </c>
      <c r="E833" t="s">
        <v>4</v>
      </c>
      <c r="F833">
        <v>4</v>
      </c>
      <c r="H833" t="s">
        <v>5</v>
      </c>
      <c r="I833" s="1">
        <v>40.9</v>
      </c>
      <c r="J833" s="1">
        <v>38.75</v>
      </c>
      <c r="K833" t="s">
        <v>6</v>
      </c>
    </row>
    <row r="834" spans="1:11">
      <c r="A834" t="s">
        <v>567</v>
      </c>
      <c r="B834">
        <v>380072</v>
      </c>
      <c r="C834" s="2" t="str">
        <f>"LT8-152"</f>
        <v>LT8-152</v>
      </c>
      <c r="D834" t="s">
        <v>858</v>
      </c>
      <c r="E834" t="s">
        <v>4</v>
      </c>
      <c r="F834">
        <v>4.75</v>
      </c>
      <c r="H834" t="s">
        <v>5</v>
      </c>
      <c r="I834" s="1">
        <v>44.68</v>
      </c>
      <c r="J834" s="1">
        <v>42.33</v>
      </c>
      <c r="K834" t="s">
        <v>6</v>
      </c>
    </row>
    <row r="835" spans="1:11">
      <c r="A835" t="s">
        <v>567</v>
      </c>
      <c r="B835">
        <v>501753</v>
      </c>
      <c r="C835" s="2" t="str">
        <f>"MDSB5-110"</f>
        <v>MDSB5-110</v>
      </c>
      <c r="D835" t="s">
        <v>859</v>
      </c>
      <c r="E835" t="s">
        <v>4</v>
      </c>
      <c r="F835">
        <v>7.4</v>
      </c>
      <c r="H835" t="s">
        <v>5</v>
      </c>
      <c r="I835" s="1">
        <v>88.92</v>
      </c>
      <c r="J835" s="1">
        <v>84.24</v>
      </c>
      <c r="K835" t="s">
        <v>6</v>
      </c>
    </row>
    <row r="836" spans="1:11">
      <c r="A836" t="s">
        <v>567</v>
      </c>
      <c r="B836">
        <v>482567</v>
      </c>
      <c r="C836" s="2" t="str">
        <f>"MDSB5-487"</f>
        <v>MDSB5-487</v>
      </c>
      <c r="D836" t="s">
        <v>860</v>
      </c>
      <c r="E836" t="s">
        <v>4</v>
      </c>
      <c r="F836">
        <v>7.4</v>
      </c>
      <c r="H836" t="s">
        <v>5</v>
      </c>
      <c r="I836" s="1">
        <v>88.92</v>
      </c>
      <c r="J836" s="1">
        <v>84.24</v>
      </c>
      <c r="K836" t="s">
        <v>6</v>
      </c>
    </row>
    <row r="837" spans="1:11">
      <c r="A837" t="s">
        <v>567</v>
      </c>
      <c r="B837">
        <v>482568</v>
      </c>
      <c r="C837" s="2" t="str">
        <f>"MDSB5-497"</f>
        <v>MDSB5-497</v>
      </c>
      <c r="D837" t="s">
        <v>861</v>
      </c>
      <c r="E837" t="s">
        <v>4</v>
      </c>
      <c r="F837">
        <v>7.4</v>
      </c>
      <c r="H837" t="s">
        <v>5</v>
      </c>
      <c r="I837" s="1">
        <v>88.92</v>
      </c>
      <c r="J837" s="1">
        <v>84.24</v>
      </c>
      <c r="K837" t="s">
        <v>6</v>
      </c>
    </row>
    <row r="838" spans="1:11">
      <c r="A838" t="s">
        <v>567</v>
      </c>
      <c r="B838">
        <v>482569</v>
      </c>
      <c r="C838" s="2" t="str">
        <f>"MDSB9-487"</f>
        <v>MDSB9-487</v>
      </c>
      <c r="D838" t="s">
        <v>862</v>
      </c>
      <c r="E838" t="s">
        <v>4</v>
      </c>
      <c r="F838">
        <v>10.07</v>
      </c>
      <c r="H838" t="s">
        <v>5</v>
      </c>
      <c r="I838" s="1">
        <v>88.92</v>
      </c>
      <c r="J838" s="1">
        <v>84.24</v>
      </c>
      <c r="K838" t="s">
        <v>6</v>
      </c>
    </row>
    <row r="839" spans="1:11">
      <c r="A839" t="s">
        <v>567</v>
      </c>
      <c r="B839">
        <v>482570</v>
      </c>
      <c r="C839" s="2" t="str">
        <f>"MDSB9-497"</f>
        <v>MDSB9-497</v>
      </c>
      <c r="D839" t="s">
        <v>863</v>
      </c>
      <c r="E839" t="s">
        <v>4</v>
      </c>
      <c r="F839">
        <v>10.07</v>
      </c>
      <c r="H839" t="s">
        <v>5</v>
      </c>
      <c r="I839" s="1">
        <v>88.92</v>
      </c>
      <c r="J839" s="1">
        <v>84.24</v>
      </c>
      <c r="K839" t="s">
        <v>6</v>
      </c>
    </row>
    <row r="840" spans="1:11">
      <c r="A840" t="s">
        <v>567</v>
      </c>
      <c r="B840">
        <v>501755</v>
      </c>
      <c r="C840" s="2" t="str">
        <f>"MDSD9-110"</f>
        <v>MDSD9-110</v>
      </c>
      <c r="D840" t="s">
        <v>864</v>
      </c>
      <c r="E840" t="s">
        <v>4</v>
      </c>
      <c r="F840">
        <v>10.75</v>
      </c>
      <c r="H840" t="s">
        <v>5</v>
      </c>
      <c r="I840" s="1">
        <v>137.46</v>
      </c>
      <c r="J840" s="1">
        <v>130.22</v>
      </c>
      <c r="K840" t="s">
        <v>6</v>
      </c>
    </row>
    <row r="841" spans="1:11">
      <c r="A841" t="s">
        <v>567</v>
      </c>
      <c r="B841">
        <v>482571</v>
      </c>
      <c r="C841" s="2" t="str">
        <f>"MDSD9-487"</f>
        <v>MDSD9-487</v>
      </c>
      <c r="D841" t="s">
        <v>865</v>
      </c>
      <c r="E841" t="s">
        <v>4</v>
      </c>
      <c r="F841">
        <v>10.75</v>
      </c>
      <c r="H841" t="s">
        <v>5</v>
      </c>
      <c r="I841" s="1">
        <v>137.46</v>
      </c>
      <c r="J841" s="1">
        <v>130.22</v>
      </c>
      <c r="K841" t="s">
        <v>6</v>
      </c>
    </row>
    <row r="842" spans="1:11">
      <c r="A842" t="s">
        <v>567</v>
      </c>
      <c r="B842">
        <v>482572</v>
      </c>
      <c r="C842" s="2" t="str">
        <f>"MDSD9-497"</f>
        <v>MDSD9-497</v>
      </c>
      <c r="D842" t="s">
        <v>866</v>
      </c>
      <c r="E842" t="s">
        <v>4</v>
      </c>
      <c r="F842">
        <v>10.75</v>
      </c>
      <c r="H842" t="s">
        <v>5</v>
      </c>
      <c r="I842" s="1">
        <v>137.46</v>
      </c>
      <c r="J842" s="1">
        <v>130.22</v>
      </c>
      <c r="K842" t="s">
        <v>6</v>
      </c>
    </row>
    <row r="843" spans="1:11">
      <c r="A843" t="s">
        <v>567</v>
      </c>
      <c r="B843">
        <v>501757</v>
      </c>
      <c r="C843" s="2" t="str">
        <f>"MDSL9-110"</f>
        <v>MDSL9-110</v>
      </c>
      <c r="D843" t="s">
        <v>867</v>
      </c>
      <c r="E843" t="s">
        <v>4</v>
      </c>
      <c r="F843">
        <v>5.25</v>
      </c>
      <c r="H843" t="s">
        <v>5</v>
      </c>
      <c r="I843" s="1">
        <v>62.24</v>
      </c>
      <c r="J843" s="1">
        <v>58.97</v>
      </c>
      <c r="K843" t="s">
        <v>6</v>
      </c>
    </row>
    <row r="844" spans="1:11">
      <c r="A844" t="s">
        <v>567</v>
      </c>
      <c r="B844">
        <v>482573</v>
      </c>
      <c r="C844" s="2" t="str">
        <f>"MDSL9-487"</f>
        <v>MDSL9-487</v>
      </c>
      <c r="D844" t="s">
        <v>868</v>
      </c>
      <c r="E844" t="s">
        <v>4</v>
      </c>
      <c r="F844">
        <v>5.25</v>
      </c>
      <c r="H844" t="s">
        <v>5</v>
      </c>
      <c r="I844" s="1">
        <v>62.24</v>
      </c>
      <c r="J844" s="1">
        <v>58.97</v>
      </c>
      <c r="K844" t="s">
        <v>6</v>
      </c>
    </row>
    <row r="845" spans="1:11">
      <c r="A845" t="s">
        <v>567</v>
      </c>
      <c r="B845">
        <v>482574</v>
      </c>
      <c r="C845" s="2" t="str">
        <f>"MDSL9-497"</f>
        <v>MDSL9-497</v>
      </c>
      <c r="D845" t="s">
        <v>869</v>
      </c>
      <c r="E845" t="s">
        <v>4</v>
      </c>
      <c r="F845">
        <v>5.25</v>
      </c>
      <c r="H845" t="s">
        <v>5</v>
      </c>
      <c r="I845" s="1">
        <v>62.24</v>
      </c>
      <c r="J845" s="1">
        <v>58.97</v>
      </c>
      <c r="K845" t="s">
        <v>6</v>
      </c>
    </row>
    <row r="846" spans="1:11">
      <c r="A846" t="s">
        <v>567</v>
      </c>
      <c r="B846">
        <v>501758</v>
      </c>
      <c r="C846" s="2" t="str">
        <f>"MDSM8-110"</f>
        <v>MDSM8-110</v>
      </c>
      <c r="D846" t="s">
        <v>870</v>
      </c>
      <c r="E846" t="s">
        <v>4</v>
      </c>
      <c r="F846">
        <v>11.5</v>
      </c>
      <c r="H846" t="s">
        <v>5</v>
      </c>
      <c r="I846" s="1">
        <v>88.92</v>
      </c>
      <c r="J846" s="1">
        <v>84.24</v>
      </c>
      <c r="K846" t="s">
        <v>6</v>
      </c>
    </row>
    <row r="847" spans="1:11">
      <c r="A847" t="s">
        <v>567</v>
      </c>
      <c r="B847">
        <v>482575</v>
      </c>
      <c r="C847" s="2" t="str">
        <f>"MDSM8-487"</f>
        <v>MDSM8-487</v>
      </c>
      <c r="D847" t="s">
        <v>871</v>
      </c>
      <c r="E847" t="s">
        <v>4</v>
      </c>
      <c r="F847">
        <v>11.5</v>
      </c>
      <c r="H847" t="s">
        <v>5</v>
      </c>
      <c r="I847" s="1">
        <v>88.92</v>
      </c>
      <c r="J847" s="1">
        <v>84.24</v>
      </c>
      <c r="K847" t="s">
        <v>6</v>
      </c>
    </row>
    <row r="848" spans="1:11">
      <c r="A848" t="s">
        <v>567</v>
      </c>
      <c r="B848">
        <v>482576</v>
      </c>
      <c r="C848" s="2" t="str">
        <f>"MDSM8-497"</f>
        <v>MDSM8-497</v>
      </c>
      <c r="D848" t="s">
        <v>872</v>
      </c>
      <c r="E848" t="s">
        <v>4</v>
      </c>
      <c r="F848">
        <v>11.5</v>
      </c>
      <c r="H848" t="s">
        <v>5</v>
      </c>
      <c r="I848" s="1">
        <v>88.92</v>
      </c>
      <c r="J848" s="1">
        <v>84.24</v>
      </c>
      <c r="K848" t="s">
        <v>6</v>
      </c>
    </row>
    <row r="849" spans="1:12">
      <c r="A849" t="s">
        <v>567</v>
      </c>
      <c r="B849">
        <v>482577</v>
      </c>
      <c r="C849" s="2" t="str">
        <f>"MDSP9-477"</f>
        <v>MDSP9-477</v>
      </c>
      <c r="D849" t="s">
        <v>873</v>
      </c>
      <c r="E849" t="s">
        <v>4</v>
      </c>
      <c r="F849">
        <v>29.9</v>
      </c>
      <c r="H849" t="s">
        <v>5</v>
      </c>
      <c r="I849" s="1">
        <v>321.23</v>
      </c>
      <c r="J849" s="1">
        <v>304.32</v>
      </c>
      <c r="K849" t="s">
        <v>6</v>
      </c>
    </row>
    <row r="850" spans="1:12">
      <c r="A850" t="s">
        <v>567</v>
      </c>
      <c r="B850">
        <v>502655</v>
      </c>
      <c r="C850" s="2" t="str">
        <f>"MDSPL"</f>
        <v>MDSPL</v>
      </c>
      <c r="D850" t="s">
        <v>874</v>
      </c>
      <c r="E850" t="s">
        <v>4</v>
      </c>
      <c r="F850">
        <v>0.4</v>
      </c>
      <c r="H850" t="s">
        <v>5</v>
      </c>
      <c r="I850" s="1">
        <v>50.57</v>
      </c>
      <c r="J850" s="1">
        <v>47.92</v>
      </c>
      <c r="K850" t="s">
        <v>6</v>
      </c>
    </row>
    <row r="851" spans="1:12">
      <c r="A851" t="s">
        <v>567</v>
      </c>
      <c r="B851">
        <v>485389</v>
      </c>
      <c r="C851" s="2" t="str">
        <f>"NT10-152"</f>
        <v>NT10-152</v>
      </c>
      <c r="D851" t="s">
        <v>875</v>
      </c>
      <c r="E851" t="s">
        <v>4</v>
      </c>
      <c r="F851">
        <v>5.3</v>
      </c>
      <c r="H851" t="s">
        <v>5</v>
      </c>
      <c r="I851" s="1">
        <v>40.24</v>
      </c>
      <c r="J851" s="1">
        <v>38.119999999999997</v>
      </c>
      <c r="K851" t="s">
        <v>6</v>
      </c>
    </row>
    <row r="852" spans="1:12">
      <c r="A852" t="s">
        <v>567</v>
      </c>
      <c r="B852">
        <v>485394</v>
      </c>
      <c r="C852" s="2" t="str">
        <f>"NT12-152"</f>
        <v>NT12-152</v>
      </c>
      <c r="D852" t="s">
        <v>876</v>
      </c>
      <c r="E852" t="s">
        <v>4</v>
      </c>
      <c r="F852">
        <v>5.6</v>
      </c>
      <c r="H852" t="s">
        <v>5</v>
      </c>
      <c r="I852" s="1">
        <v>41.8</v>
      </c>
      <c r="J852" s="1">
        <v>39.6</v>
      </c>
      <c r="K852" t="s">
        <v>6</v>
      </c>
    </row>
    <row r="853" spans="1:12">
      <c r="A853" t="s">
        <v>567</v>
      </c>
      <c r="B853">
        <v>485409</v>
      </c>
      <c r="C853" s="2" t="str">
        <f>"NT20-152"</f>
        <v>NT20-152</v>
      </c>
      <c r="D853" t="s">
        <v>877</v>
      </c>
      <c r="E853" t="s">
        <v>4</v>
      </c>
      <c r="F853">
        <v>8.5</v>
      </c>
      <c r="H853" t="s">
        <v>5</v>
      </c>
      <c r="I853" s="1">
        <v>61.8</v>
      </c>
      <c r="J853" s="1">
        <v>58.55</v>
      </c>
      <c r="K853" t="s">
        <v>6</v>
      </c>
    </row>
    <row r="854" spans="1:12">
      <c r="A854" t="s">
        <v>567</v>
      </c>
      <c r="B854">
        <v>485412</v>
      </c>
      <c r="C854" s="2" t="str">
        <f>"NT5-152"</f>
        <v>NT5-152</v>
      </c>
      <c r="D854" t="s">
        <v>878</v>
      </c>
      <c r="E854" t="s">
        <v>4</v>
      </c>
      <c r="F854">
        <v>3.6</v>
      </c>
      <c r="H854" t="s">
        <v>5</v>
      </c>
      <c r="I854" s="1">
        <v>32.68</v>
      </c>
      <c r="J854" s="1">
        <v>30.95</v>
      </c>
      <c r="K854" t="s">
        <v>6</v>
      </c>
    </row>
    <row r="855" spans="1:12">
      <c r="A855" t="s">
        <v>567</v>
      </c>
      <c r="B855">
        <v>485415</v>
      </c>
      <c r="C855" s="2" t="str">
        <f>"NT8-152"</f>
        <v>NT8-152</v>
      </c>
      <c r="D855" t="s">
        <v>879</v>
      </c>
      <c r="E855" t="s">
        <v>4</v>
      </c>
      <c r="F855">
        <v>4.2</v>
      </c>
      <c r="H855" t="s">
        <v>5</v>
      </c>
      <c r="I855" s="1">
        <v>33.79</v>
      </c>
      <c r="J855" s="1">
        <v>32.01</v>
      </c>
      <c r="K855" t="s">
        <v>6</v>
      </c>
    </row>
    <row r="856" spans="1:12">
      <c r="A856" t="s">
        <v>567</v>
      </c>
      <c r="B856">
        <v>485248</v>
      </c>
      <c r="C856" s="2" t="str">
        <f>"NT9-152"</f>
        <v>NT9-152</v>
      </c>
      <c r="D856" t="s">
        <v>880</v>
      </c>
      <c r="E856" t="s">
        <v>4</v>
      </c>
      <c r="F856">
        <v>4.7</v>
      </c>
      <c r="H856" t="s">
        <v>5</v>
      </c>
      <c r="I856" s="1">
        <v>36.909999999999997</v>
      </c>
      <c r="J856" s="1">
        <v>34.96</v>
      </c>
      <c r="K856" t="s">
        <v>6</v>
      </c>
    </row>
    <row r="857" spans="1:12">
      <c r="A857" t="s">
        <v>567</v>
      </c>
      <c r="B857">
        <v>380084</v>
      </c>
      <c r="C857" s="2" t="str">
        <f>"P320CW-135"</f>
        <v>P320CW-135</v>
      </c>
      <c r="D857" t="s">
        <v>881</v>
      </c>
      <c r="E857" t="s">
        <v>4</v>
      </c>
      <c r="F857">
        <v>3.78</v>
      </c>
      <c r="G857">
        <v>0.63</v>
      </c>
      <c r="H857" t="s">
        <v>20</v>
      </c>
      <c r="I857" s="1">
        <v>6.6</v>
      </c>
      <c r="J857" s="1">
        <v>6.25</v>
      </c>
      <c r="K857" t="s">
        <v>457</v>
      </c>
      <c r="L857" s="1">
        <v>6.88</v>
      </c>
    </row>
    <row r="858" spans="1:12">
      <c r="A858" t="s">
        <v>567</v>
      </c>
      <c r="B858">
        <v>380081</v>
      </c>
      <c r="C858" s="2" t="str">
        <f>"P480CW-135"</f>
        <v>P480CW-135</v>
      </c>
      <c r="D858" t="s">
        <v>882</v>
      </c>
      <c r="E858" t="s">
        <v>4</v>
      </c>
      <c r="F858">
        <v>4.9800000000000004</v>
      </c>
      <c r="G858">
        <v>0.83</v>
      </c>
      <c r="H858" t="s">
        <v>20</v>
      </c>
      <c r="I858" s="1">
        <v>7.97</v>
      </c>
      <c r="J858" s="1">
        <v>7.55</v>
      </c>
      <c r="K858" t="s">
        <v>457</v>
      </c>
      <c r="L858" s="1">
        <v>8.31</v>
      </c>
    </row>
    <row r="859" spans="1:12">
      <c r="A859" t="s">
        <v>567</v>
      </c>
      <c r="B859">
        <v>380086</v>
      </c>
      <c r="C859" s="2" t="str">
        <f>"P600CW-135"</f>
        <v>P600CW-135</v>
      </c>
      <c r="D859" t="s">
        <v>883</v>
      </c>
      <c r="E859" t="s">
        <v>4</v>
      </c>
      <c r="F859">
        <v>6</v>
      </c>
      <c r="G859">
        <v>1</v>
      </c>
      <c r="H859" t="s">
        <v>20</v>
      </c>
      <c r="I859" s="1">
        <v>8.42</v>
      </c>
      <c r="J859" s="1">
        <v>7.98</v>
      </c>
      <c r="K859" t="s">
        <v>457</v>
      </c>
      <c r="L859" s="1">
        <v>8.7799999999999994</v>
      </c>
    </row>
    <row r="860" spans="1:12">
      <c r="A860" t="s">
        <v>567</v>
      </c>
      <c r="B860">
        <v>380089</v>
      </c>
      <c r="C860" s="2" t="str">
        <f>"P600CW-153"</f>
        <v>P600CW-153</v>
      </c>
      <c r="D860" t="s">
        <v>884</v>
      </c>
      <c r="E860" t="s">
        <v>4</v>
      </c>
      <c r="F860">
        <v>6</v>
      </c>
      <c r="G860">
        <v>1</v>
      </c>
      <c r="H860" t="s">
        <v>20</v>
      </c>
      <c r="I860" s="1">
        <v>8.42</v>
      </c>
      <c r="J860" s="1">
        <v>7.98</v>
      </c>
      <c r="K860" t="s">
        <v>457</v>
      </c>
      <c r="L860" s="1">
        <v>8.7799999999999994</v>
      </c>
    </row>
    <row r="861" spans="1:12">
      <c r="A861" t="s">
        <v>567</v>
      </c>
      <c r="B861">
        <v>369872</v>
      </c>
      <c r="C861" s="2" t="str">
        <f>"P60CW-135"</f>
        <v>P60CW-135</v>
      </c>
      <c r="D861" t="s">
        <v>885</v>
      </c>
      <c r="E861" t="s">
        <v>4</v>
      </c>
      <c r="F861">
        <v>6.75</v>
      </c>
      <c r="H861" t="s">
        <v>5</v>
      </c>
      <c r="I861" s="1">
        <v>58.36</v>
      </c>
      <c r="J861" s="1">
        <v>55.28</v>
      </c>
      <c r="K861" t="s">
        <v>6</v>
      </c>
    </row>
    <row r="862" spans="1:12">
      <c r="A862" t="s">
        <v>567</v>
      </c>
      <c r="B862">
        <v>367756</v>
      </c>
      <c r="C862" s="2" t="str">
        <f>"P64CW-135"</f>
        <v>P64CW-135</v>
      </c>
      <c r="D862" t="s">
        <v>886</v>
      </c>
      <c r="E862" t="s">
        <v>4</v>
      </c>
      <c r="F862">
        <v>6.75</v>
      </c>
      <c r="H862" t="s">
        <v>5</v>
      </c>
      <c r="I862" s="1">
        <v>58.36</v>
      </c>
      <c r="J862" s="1">
        <v>55.28</v>
      </c>
      <c r="K862" t="s">
        <v>6</v>
      </c>
    </row>
    <row r="863" spans="1:12">
      <c r="A863" t="s">
        <v>567</v>
      </c>
      <c r="B863">
        <v>368147</v>
      </c>
      <c r="C863" s="2" t="str">
        <f>"PC64CW-135"</f>
        <v>PC64CW-135</v>
      </c>
      <c r="D863" t="s">
        <v>887</v>
      </c>
      <c r="E863" t="s">
        <v>4</v>
      </c>
      <c r="F863">
        <v>7.5</v>
      </c>
      <c r="H863" t="s">
        <v>5</v>
      </c>
      <c r="I863" s="1">
        <v>75.02</v>
      </c>
      <c r="J863" s="1">
        <v>71.08</v>
      </c>
      <c r="K863" t="s">
        <v>6</v>
      </c>
    </row>
    <row r="864" spans="1:12">
      <c r="A864" t="s">
        <v>567</v>
      </c>
      <c r="B864">
        <v>527646</v>
      </c>
      <c r="C864" s="2" t="str">
        <f>"PE600CW-135"</f>
        <v>PE600CW-135</v>
      </c>
      <c r="D864" t="s">
        <v>888</v>
      </c>
      <c r="E864" t="s">
        <v>4</v>
      </c>
      <c r="F864">
        <v>4.32</v>
      </c>
      <c r="G864">
        <v>0.72</v>
      </c>
      <c r="H864" t="s">
        <v>20</v>
      </c>
      <c r="I864" s="1">
        <v>5.77</v>
      </c>
      <c r="J864" s="1">
        <v>5.47</v>
      </c>
      <c r="K864" t="s">
        <v>21</v>
      </c>
      <c r="L864" s="1">
        <v>6.02</v>
      </c>
    </row>
    <row r="865" spans="1:12">
      <c r="A865" t="s">
        <v>567</v>
      </c>
      <c r="B865">
        <v>387809</v>
      </c>
      <c r="C865" s="2" t="str">
        <f>"PL60CW-135"</f>
        <v>PL60CW-135</v>
      </c>
      <c r="D865" t="s">
        <v>889</v>
      </c>
      <c r="E865" t="s">
        <v>4</v>
      </c>
      <c r="F865">
        <v>4</v>
      </c>
      <c r="H865" t="s">
        <v>5</v>
      </c>
      <c r="I865" s="1">
        <v>34.65</v>
      </c>
      <c r="J865" s="1">
        <v>32.81</v>
      </c>
      <c r="K865" t="s">
        <v>6</v>
      </c>
    </row>
    <row r="866" spans="1:12">
      <c r="A866" t="s">
        <v>567</v>
      </c>
      <c r="B866">
        <v>389254</v>
      </c>
      <c r="C866" s="2" t="str">
        <f>"PR59314-151"</f>
        <v>PR59314-151</v>
      </c>
      <c r="D866" t="s">
        <v>890</v>
      </c>
      <c r="E866" t="s">
        <v>4</v>
      </c>
      <c r="F866">
        <v>24</v>
      </c>
      <c r="G866">
        <v>4</v>
      </c>
      <c r="H866" t="s">
        <v>20</v>
      </c>
      <c r="I866" s="1">
        <v>22.41</v>
      </c>
      <c r="J866" s="1">
        <v>21.24</v>
      </c>
      <c r="K866" t="s">
        <v>457</v>
      </c>
      <c r="L866" s="1">
        <v>23.37</v>
      </c>
    </row>
    <row r="867" spans="1:12">
      <c r="A867" t="s">
        <v>567</v>
      </c>
      <c r="B867">
        <v>384352</v>
      </c>
      <c r="C867" s="2" t="str">
        <f>"PS1014-186"</f>
        <v>PS1014-186</v>
      </c>
      <c r="D867" t="s">
        <v>891</v>
      </c>
      <c r="E867" t="s">
        <v>4</v>
      </c>
      <c r="F867">
        <v>16.5</v>
      </c>
      <c r="H867" t="s">
        <v>5</v>
      </c>
      <c r="I867" s="1">
        <v>91.88</v>
      </c>
      <c r="J867" s="1">
        <v>87.05</v>
      </c>
      <c r="K867" t="s">
        <v>6</v>
      </c>
    </row>
    <row r="868" spans="1:12">
      <c r="A868" t="s">
        <v>567</v>
      </c>
      <c r="B868">
        <v>420465</v>
      </c>
      <c r="C868" s="2" t="str">
        <f>"PS1014-416"</f>
        <v>PS1014-416</v>
      </c>
      <c r="D868" t="s">
        <v>892</v>
      </c>
      <c r="E868" t="s">
        <v>4</v>
      </c>
      <c r="F868">
        <v>16.5</v>
      </c>
      <c r="H868" t="s">
        <v>5</v>
      </c>
      <c r="I868" s="1">
        <v>91.88</v>
      </c>
      <c r="J868" s="1">
        <v>87.05</v>
      </c>
      <c r="K868" t="s">
        <v>6</v>
      </c>
    </row>
    <row r="869" spans="1:12">
      <c r="A869" t="s">
        <v>567</v>
      </c>
      <c r="B869">
        <v>468202</v>
      </c>
      <c r="C869" s="2" t="str">
        <f>"PSB10-176"</f>
        <v>PSB10-176</v>
      </c>
      <c r="D869" t="s">
        <v>893</v>
      </c>
      <c r="E869" t="s">
        <v>4</v>
      </c>
      <c r="F869">
        <v>12</v>
      </c>
      <c r="G869">
        <v>1</v>
      </c>
      <c r="H869" t="s">
        <v>106</v>
      </c>
      <c r="I869" s="1">
        <v>7.38</v>
      </c>
      <c r="J869" s="1">
        <v>6.99</v>
      </c>
      <c r="K869" t="s">
        <v>457</v>
      </c>
      <c r="L869" s="1">
        <v>7.69</v>
      </c>
    </row>
    <row r="870" spans="1:12">
      <c r="A870" t="s">
        <v>567</v>
      </c>
      <c r="B870">
        <v>393069</v>
      </c>
      <c r="C870" s="2" t="str">
        <f>"PSB12-176"</f>
        <v>PSB12-176</v>
      </c>
      <c r="D870" t="s">
        <v>894</v>
      </c>
      <c r="E870" t="s">
        <v>4</v>
      </c>
      <c r="F870">
        <v>12.72</v>
      </c>
      <c r="G870">
        <v>1.06</v>
      </c>
      <c r="H870" t="s">
        <v>106</v>
      </c>
      <c r="I870" s="1">
        <v>9.5399999999999991</v>
      </c>
      <c r="J870" s="1">
        <v>9.0399999999999991</v>
      </c>
      <c r="K870" t="s">
        <v>457</v>
      </c>
      <c r="L870" s="1">
        <v>9.94</v>
      </c>
    </row>
    <row r="871" spans="1:12">
      <c r="A871" t="s">
        <v>567</v>
      </c>
      <c r="B871">
        <v>468244</v>
      </c>
      <c r="C871" s="2" t="str">
        <f>"PSB15-176"</f>
        <v>PSB15-176</v>
      </c>
      <c r="D871" t="s">
        <v>895</v>
      </c>
      <c r="E871" t="s">
        <v>4</v>
      </c>
      <c r="F871">
        <v>7</v>
      </c>
      <c r="G871">
        <v>1.75</v>
      </c>
      <c r="H871" t="s">
        <v>153</v>
      </c>
      <c r="I871" s="1">
        <v>15.54</v>
      </c>
      <c r="J871" s="1">
        <v>14.72</v>
      </c>
      <c r="K871" t="s">
        <v>457</v>
      </c>
      <c r="L871" s="1">
        <v>16.190000000000001</v>
      </c>
    </row>
    <row r="872" spans="1:12">
      <c r="A872" t="s">
        <v>567</v>
      </c>
      <c r="B872">
        <v>393070</v>
      </c>
      <c r="C872" s="2" t="str">
        <f>"PSB18-176"</f>
        <v>PSB18-176</v>
      </c>
      <c r="D872" t="s">
        <v>896</v>
      </c>
      <c r="E872" t="s">
        <v>4</v>
      </c>
      <c r="F872">
        <v>12.24</v>
      </c>
      <c r="G872">
        <v>3.06</v>
      </c>
      <c r="H872" t="s">
        <v>153</v>
      </c>
      <c r="I872" s="1">
        <v>24.73</v>
      </c>
      <c r="J872" s="1">
        <v>23.43</v>
      </c>
      <c r="K872" t="s">
        <v>457</v>
      </c>
      <c r="L872" s="1">
        <v>25.77</v>
      </c>
    </row>
    <row r="873" spans="1:12">
      <c r="A873" t="s">
        <v>567</v>
      </c>
      <c r="B873">
        <v>468264</v>
      </c>
      <c r="C873" s="2" t="str">
        <f>"PSB23-176"</f>
        <v>PSB23-176</v>
      </c>
      <c r="D873" t="s">
        <v>897</v>
      </c>
      <c r="E873" t="s">
        <v>4</v>
      </c>
      <c r="F873">
        <v>19.52</v>
      </c>
      <c r="G873">
        <v>4.88</v>
      </c>
      <c r="H873" t="s">
        <v>153</v>
      </c>
      <c r="I873" s="1">
        <v>37.659999999999997</v>
      </c>
      <c r="J873" s="1">
        <v>35.69</v>
      </c>
      <c r="K873" t="s">
        <v>457</v>
      </c>
      <c r="L873" s="1">
        <v>39.25</v>
      </c>
    </row>
    <row r="874" spans="1:12">
      <c r="A874" t="s">
        <v>567</v>
      </c>
      <c r="B874">
        <v>368301</v>
      </c>
      <c r="C874" s="2" t="str">
        <f>"PSB6-176"</f>
        <v>PSB6-176</v>
      </c>
      <c r="D874" t="s">
        <v>898</v>
      </c>
      <c r="E874" t="s">
        <v>4</v>
      </c>
      <c r="F874">
        <v>2.5</v>
      </c>
      <c r="H874" t="s">
        <v>5</v>
      </c>
      <c r="I874" s="1">
        <v>26.3</v>
      </c>
      <c r="J874" s="1">
        <v>24.92</v>
      </c>
      <c r="K874" t="s">
        <v>6</v>
      </c>
    </row>
    <row r="875" spans="1:12">
      <c r="A875" t="s">
        <v>567</v>
      </c>
      <c r="B875">
        <v>393065</v>
      </c>
      <c r="C875" s="2" t="str">
        <f>"PSB8-176"</f>
        <v>PSB8-176</v>
      </c>
      <c r="D875" t="s">
        <v>899</v>
      </c>
      <c r="E875" t="s">
        <v>4</v>
      </c>
      <c r="F875">
        <v>5.28</v>
      </c>
      <c r="G875">
        <v>0.44</v>
      </c>
      <c r="H875" t="s">
        <v>106</v>
      </c>
      <c r="I875" s="1">
        <v>3.73</v>
      </c>
      <c r="J875" s="1">
        <v>3.54</v>
      </c>
      <c r="K875" t="s">
        <v>457</v>
      </c>
      <c r="L875" s="1">
        <v>3.89</v>
      </c>
    </row>
    <row r="876" spans="1:12">
      <c r="A876" t="s">
        <v>567</v>
      </c>
      <c r="B876">
        <v>380102</v>
      </c>
      <c r="C876" s="2" t="str">
        <f>"PT1100-167"</f>
        <v>PT1100-167</v>
      </c>
      <c r="D876" t="s">
        <v>900</v>
      </c>
      <c r="E876" t="s">
        <v>4</v>
      </c>
      <c r="F876">
        <v>6.72</v>
      </c>
      <c r="G876">
        <v>0.56000000000000005</v>
      </c>
      <c r="H876" t="s">
        <v>106</v>
      </c>
      <c r="I876" s="1">
        <v>6.33</v>
      </c>
      <c r="J876" s="1">
        <v>5.99</v>
      </c>
      <c r="K876" t="s">
        <v>457</v>
      </c>
      <c r="L876" s="1">
        <v>6.59</v>
      </c>
    </row>
    <row r="877" spans="1:12">
      <c r="A877" t="s">
        <v>567</v>
      </c>
      <c r="B877">
        <v>380104</v>
      </c>
      <c r="C877" s="2" t="str">
        <f>"PT1400-167"</f>
        <v>PT1400-167</v>
      </c>
      <c r="D877" t="s">
        <v>901</v>
      </c>
      <c r="E877" t="s">
        <v>4</v>
      </c>
      <c r="F877">
        <v>12</v>
      </c>
      <c r="G877">
        <v>1</v>
      </c>
      <c r="H877" t="s">
        <v>106</v>
      </c>
      <c r="I877" s="1">
        <v>8.4600000000000009</v>
      </c>
      <c r="J877" s="1">
        <v>8.01</v>
      </c>
      <c r="K877" t="s">
        <v>457</v>
      </c>
      <c r="L877" s="1">
        <v>8.81</v>
      </c>
    </row>
    <row r="878" spans="1:12">
      <c r="A878" t="s">
        <v>567</v>
      </c>
      <c r="B878">
        <v>380106</v>
      </c>
      <c r="C878" s="2" t="str">
        <f>"PT1600-167"</f>
        <v>PT1600-167</v>
      </c>
      <c r="D878" t="s">
        <v>902</v>
      </c>
      <c r="E878" t="s">
        <v>4</v>
      </c>
      <c r="F878">
        <v>14.76</v>
      </c>
      <c r="G878">
        <v>1.23</v>
      </c>
      <c r="H878" t="s">
        <v>106</v>
      </c>
      <c r="I878" s="1">
        <v>11.43</v>
      </c>
      <c r="J878" s="1">
        <v>10.83</v>
      </c>
      <c r="K878" t="s">
        <v>457</v>
      </c>
      <c r="L878" s="1">
        <v>11.91</v>
      </c>
    </row>
    <row r="879" spans="1:12">
      <c r="A879" t="s">
        <v>567</v>
      </c>
      <c r="B879">
        <v>380108</v>
      </c>
      <c r="C879" s="2" t="str">
        <f>"PWB22-148"</f>
        <v>PWB22-148</v>
      </c>
      <c r="D879" t="s">
        <v>903</v>
      </c>
      <c r="E879" t="s">
        <v>4</v>
      </c>
      <c r="F879">
        <v>13.98</v>
      </c>
      <c r="G879">
        <v>2.33</v>
      </c>
      <c r="H879" t="s">
        <v>20</v>
      </c>
      <c r="I879" s="1">
        <v>16.37</v>
      </c>
      <c r="J879" s="1">
        <v>15.5</v>
      </c>
      <c r="K879" t="s">
        <v>457</v>
      </c>
      <c r="L879" s="1">
        <v>17.05</v>
      </c>
    </row>
    <row r="880" spans="1:12">
      <c r="A880" t="s">
        <v>567</v>
      </c>
      <c r="B880">
        <v>377360</v>
      </c>
      <c r="C880" s="2" t="str">
        <f>"RD1220CWH-135"</f>
        <v>RD1220CWH-135</v>
      </c>
      <c r="D880" t="s">
        <v>904</v>
      </c>
      <c r="E880" t="s">
        <v>4</v>
      </c>
      <c r="F880">
        <v>4.75</v>
      </c>
      <c r="H880" t="s">
        <v>5</v>
      </c>
      <c r="I880" s="1">
        <v>48.1</v>
      </c>
      <c r="J880" s="1">
        <v>45.58</v>
      </c>
      <c r="K880" t="s">
        <v>6</v>
      </c>
    </row>
    <row r="881" spans="1:12">
      <c r="A881" t="s">
        <v>567</v>
      </c>
      <c r="B881">
        <v>380109</v>
      </c>
      <c r="C881" s="2" t="str">
        <f>"RFS12-148"</f>
        <v>RFS12-148</v>
      </c>
      <c r="D881" t="s">
        <v>905</v>
      </c>
      <c r="E881" t="s">
        <v>4</v>
      </c>
      <c r="F881">
        <v>7.5</v>
      </c>
      <c r="G881">
        <v>1.25</v>
      </c>
      <c r="H881" t="s">
        <v>20</v>
      </c>
      <c r="I881" s="1">
        <v>9.1999999999999993</v>
      </c>
      <c r="J881" s="1">
        <v>8.7100000000000009</v>
      </c>
      <c r="K881" t="s">
        <v>457</v>
      </c>
      <c r="L881" s="1">
        <v>9.58</v>
      </c>
    </row>
    <row r="882" spans="1:12">
      <c r="A882" t="s">
        <v>567</v>
      </c>
      <c r="B882">
        <v>380110</v>
      </c>
      <c r="C882" s="2" t="str">
        <f>"RFS12PP-190"</f>
        <v>RFS12PP-190</v>
      </c>
      <c r="D882" t="s">
        <v>906</v>
      </c>
      <c r="E882" t="s">
        <v>4</v>
      </c>
      <c r="F882">
        <v>7.5</v>
      </c>
      <c r="G882">
        <v>1.25</v>
      </c>
      <c r="H882" t="s">
        <v>20</v>
      </c>
      <c r="I882" s="1">
        <v>9.7899999999999991</v>
      </c>
      <c r="J882" s="1">
        <v>9.27</v>
      </c>
      <c r="K882" t="s">
        <v>457</v>
      </c>
      <c r="L882" s="1">
        <v>10.199999999999999</v>
      </c>
    </row>
    <row r="883" spans="1:12">
      <c r="A883" t="s">
        <v>567</v>
      </c>
      <c r="B883">
        <v>380111</v>
      </c>
      <c r="C883" s="2" t="str">
        <f>"RFS18-148"</f>
        <v>RFS18-148</v>
      </c>
      <c r="D883" t="s">
        <v>907</v>
      </c>
      <c r="E883" t="s">
        <v>4</v>
      </c>
      <c r="F883">
        <v>10.74</v>
      </c>
      <c r="G883">
        <v>1.79</v>
      </c>
      <c r="H883" t="s">
        <v>20</v>
      </c>
      <c r="I883" s="1">
        <v>11.18</v>
      </c>
      <c r="J883" s="1">
        <v>10.6</v>
      </c>
      <c r="K883" t="s">
        <v>457</v>
      </c>
      <c r="L883" s="1">
        <v>11.65</v>
      </c>
    </row>
    <row r="884" spans="1:12">
      <c r="A884" t="s">
        <v>567</v>
      </c>
      <c r="B884">
        <v>380113</v>
      </c>
      <c r="C884" s="2" t="str">
        <f>"RFS18PP-190"</f>
        <v>RFS18PP-190</v>
      </c>
      <c r="D884" t="s">
        <v>908</v>
      </c>
      <c r="E884" t="s">
        <v>4</v>
      </c>
      <c r="F884">
        <v>10.02</v>
      </c>
      <c r="G884">
        <v>1.67</v>
      </c>
      <c r="H884" t="s">
        <v>20</v>
      </c>
      <c r="I884" s="1">
        <v>11.88</v>
      </c>
      <c r="J884" s="1">
        <v>11.26</v>
      </c>
      <c r="K884" t="s">
        <v>457</v>
      </c>
      <c r="L884" s="1">
        <v>12.38</v>
      </c>
    </row>
    <row r="885" spans="1:12">
      <c r="A885" t="s">
        <v>567</v>
      </c>
      <c r="B885">
        <v>431420</v>
      </c>
      <c r="C885" s="2" t="str">
        <f>"RFS1PPSW3190"</f>
        <v>RFS1PPSW3190</v>
      </c>
      <c r="D885" t="s">
        <v>909</v>
      </c>
      <c r="E885" t="s">
        <v>4</v>
      </c>
      <c r="F885">
        <v>3</v>
      </c>
      <c r="H885" t="s">
        <v>5</v>
      </c>
      <c r="I885" s="1">
        <v>47.05</v>
      </c>
      <c r="J885" s="1">
        <v>44.58</v>
      </c>
      <c r="K885" t="s">
        <v>6</v>
      </c>
    </row>
    <row r="886" spans="1:12">
      <c r="A886" t="s">
        <v>567</v>
      </c>
      <c r="B886">
        <v>380116</v>
      </c>
      <c r="C886" s="2" t="str">
        <f>"RFS2-148"</f>
        <v>RFS2-148</v>
      </c>
      <c r="D886" t="s">
        <v>910</v>
      </c>
      <c r="E886" t="s">
        <v>4</v>
      </c>
      <c r="F886">
        <v>3.72</v>
      </c>
      <c r="G886">
        <v>0.31</v>
      </c>
      <c r="H886" t="s">
        <v>106</v>
      </c>
      <c r="I886" s="1">
        <v>2.74</v>
      </c>
      <c r="J886" s="1">
        <v>2.6</v>
      </c>
      <c r="K886" t="s">
        <v>457</v>
      </c>
      <c r="L886" s="1">
        <v>2.86</v>
      </c>
    </row>
    <row r="887" spans="1:12">
      <c r="A887" t="s">
        <v>567</v>
      </c>
      <c r="B887">
        <v>380118</v>
      </c>
      <c r="C887" s="2" t="str">
        <f>"RFS22-148"</f>
        <v>RFS22-148</v>
      </c>
      <c r="D887" t="s">
        <v>911</v>
      </c>
      <c r="E887" t="s">
        <v>4</v>
      </c>
      <c r="F887">
        <v>12.78</v>
      </c>
      <c r="G887">
        <v>2.13</v>
      </c>
      <c r="H887" t="s">
        <v>20</v>
      </c>
      <c r="I887" s="1">
        <v>13.16</v>
      </c>
      <c r="J887" s="1">
        <v>12.45</v>
      </c>
      <c r="K887" t="s">
        <v>457</v>
      </c>
      <c r="L887" s="1">
        <v>13.7</v>
      </c>
    </row>
    <row r="888" spans="1:12">
      <c r="A888" t="s">
        <v>567</v>
      </c>
      <c r="B888">
        <v>380119</v>
      </c>
      <c r="C888" s="2" t="str">
        <f>"RFS22PP-190"</f>
        <v>RFS22PP-190</v>
      </c>
      <c r="D888" t="s">
        <v>911</v>
      </c>
      <c r="E888" t="s">
        <v>4</v>
      </c>
      <c r="F888">
        <v>12.78</v>
      </c>
      <c r="G888">
        <v>2.13</v>
      </c>
      <c r="H888" t="s">
        <v>20</v>
      </c>
      <c r="I888" s="1">
        <v>13.96</v>
      </c>
      <c r="J888" s="1">
        <v>13.22</v>
      </c>
      <c r="K888" t="s">
        <v>457</v>
      </c>
      <c r="L888" s="1">
        <v>14.54</v>
      </c>
    </row>
    <row r="889" spans="1:12">
      <c r="A889" t="s">
        <v>567</v>
      </c>
      <c r="B889">
        <v>380121</v>
      </c>
      <c r="C889" s="2" t="str">
        <f>"RFS2PP-190"</f>
        <v>RFS2PP-190</v>
      </c>
      <c r="D889" t="s">
        <v>912</v>
      </c>
      <c r="E889" t="s">
        <v>4</v>
      </c>
      <c r="F889">
        <v>12.72</v>
      </c>
      <c r="G889">
        <v>1.06</v>
      </c>
      <c r="H889" t="s">
        <v>106</v>
      </c>
      <c r="I889" s="1">
        <v>2.94</v>
      </c>
      <c r="J889" s="1">
        <v>2.78</v>
      </c>
      <c r="K889" t="s">
        <v>457</v>
      </c>
      <c r="L889" s="1">
        <v>3.06</v>
      </c>
    </row>
    <row r="890" spans="1:12">
      <c r="A890" t="s">
        <v>567</v>
      </c>
      <c r="B890">
        <v>380122</v>
      </c>
      <c r="C890" s="2" t="str">
        <f>"RFS4-148"</f>
        <v>RFS4-148</v>
      </c>
      <c r="D890" t="s">
        <v>913</v>
      </c>
      <c r="E890" t="s">
        <v>4</v>
      </c>
      <c r="F890">
        <v>6.24</v>
      </c>
      <c r="G890">
        <v>0.52</v>
      </c>
      <c r="H890" t="s">
        <v>106</v>
      </c>
      <c r="I890" s="1">
        <v>3.15</v>
      </c>
      <c r="J890" s="1">
        <v>2.99</v>
      </c>
      <c r="K890" t="s">
        <v>457</v>
      </c>
      <c r="L890" s="1">
        <v>3.29</v>
      </c>
    </row>
    <row r="891" spans="1:12">
      <c r="A891" t="s">
        <v>567</v>
      </c>
      <c r="B891">
        <v>380124</v>
      </c>
      <c r="C891" s="2" t="str">
        <f>"RFS4PP-190"</f>
        <v>RFS4PP-190</v>
      </c>
      <c r="D891" t="s">
        <v>914</v>
      </c>
      <c r="E891" t="s">
        <v>4</v>
      </c>
      <c r="F891">
        <v>6</v>
      </c>
      <c r="G891">
        <v>0.5</v>
      </c>
      <c r="H891" t="s">
        <v>106</v>
      </c>
      <c r="I891" s="1">
        <v>3.43</v>
      </c>
      <c r="J891" s="1">
        <v>3.25</v>
      </c>
      <c r="K891" t="s">
        <v>457</v>
      </c>
      <c r="L891" s="1">
        <v>3.58</v>
      </c>
    </row>
    <row r="892" spans="1:12">
      <c r="A892" t="s">
        <v>567</v>
      </c>
      <c r="B892">
        <v>380126</v>
      </c>
      <c r="C892" s="2" t="str">
        <f>"RFS6-148"</f>
        <v>RFS6-148</v>
      </c>
      <c r="D892" t="s">
        <v>915</v>
      </c>
      <c r="E892" t="s">
        <v>4</v>
      </c>
      <c r="F892">
        <v>8.2799999999999994</v>
      </c>
      <c r="G892">
        <v>0.69</v>
      </c>
      <c r="H892" t="s">
        <v>106</v>
      </c>
      <c r="I892" s="1">
        <v>3.93</v>
      </c>
      <c r="J892" s="1">
        <v>3.72</v>
      </c>
      <c r="K892" t="s">
        <v>457</v>
      </c>
      <c r="L892" s="1">
        <v>4.09</v>
      </c>
    </row>
    <row r="893" spans="1:12">
      <c r="A893" t="s">
        <v>567</v>
      </c>
      <c r="B893">
        <v>380128</v>
      </c>
      <c r="C893" s="2" t="str">
        <f>"RFS6PP-190"</f>
        <v>RFS6PP-190</v>
      </c>
      <c r="D893" t="s">
        <v>916</v>
      </c>
      <c r="E893" t="s">
        <v>4</v>
      </c>
      <c r="F893">
        <v>8.2799999999999994</v>
      </c>
      <c r="G893">
        <v>0.69</v>
      </c>
      <c r="H893" t="s">
        <v>106</v>
      </c>
      <c r="I893" s="1">
        <v>4.13</v>
      </c>
      <c r="J893" s="1">
        <v>3.93</v>
      </c>
      <c r="K893" t="s">
        <v>457</v>
      </c>
      <c r="L893" s="1">
        <v>4.32</v>
      </c>
    </row>
    <row r="894" spans="1:12">
      <c r="A894" t="s">
        <v>567</v>
      </c>
      <c r="B894">
        <v>380130</v>
      </c>
      <c r="C894" s="2" t="str">
        <f>"RFS8-148"</f>
        <v>RFS8-148</v>
      </c>
      <c r="D894" t="s">
        <v>917</v>
      </c>
      <c r="E894" t="s">
        <v>4</v>
      </c>
      <c r="F894">
        <v>11.76</v>
      </c>
      <c r="G894">
        <v>0.98</v>
      </c>
      <c r="H894" t="s">
        <v>106</v>
      </c>
      <c r="I894" s="1">
        <v>5.12</v>
      </c>
      <c r="J894" s="1">
        <v>4.8600000000000003</v>
      </c>
      <c r="K894" t="s">
        <v>457</v>
      </c>
      <c r="L894" s="1">
        <v>5.35</v>
      </c>
    </row>
    <row r="895" spans="1:12">
      <c r="A895" t="s">
        <v>567</v>
      </c>
      <c r="B895">
        <v>380132</v>
      </c>
      <c r="C895" s="2" t="str">
        <f>"RFS8PP-190"</f>
        <v>RFS8PP-190</v>
      </c>
      <c r="D895" t="s">
        <v>918</v>
      </c>
      <c r="E895" t="s">
        <v>4</v>
      </c>
      <c r="F895">
        <v>11.76</v>
      </c>
      <c r="G895">
        <v>0.98</v>
      </c>
      <c r="H895" t="s">
        <v>106</v>
      </c>
      <c r="I895" s="1">
        <v>5.5</v>
      </c>
      <c r="J895" s="1">
        <v>5.2</v>
      </c>
      <c r="K895" t="s">
        <v>457</v>
      </c>
      <c r="L895" s="1">
        <v>5.72</v>
      </c>
    </row>
    <row r="896" spans="1:12">
      <c r="A896" t="s">
        <v>567</v>
      </c>
      <c r="B896">
        <v>380134</v>
      </c>
      <c r="C896" s="2" t="str">
        <f>"RFSC12-148"</f>
        <v>RFSC12-148</v>
      </c>
      <c r="D896" t="s">
        <v>919</v>
      </c>
      <c r="E896" t="s">
        <v>4</v>
      </c>
      <c r="F896">
        <v>3.48</v>
      </c>
      <c r="G896">
        <v>0.57999999999999996</v>
      </c>
      <c r="H896" t="s">
        <v>20</v>
      </c>
      <c r="I896" s="1">
        <v>3.06</v>
      </c>
      <c r="J896" s="1">
        <v>2.9</v>
      </c>
      <c r="K896" t="s">
        <v>457</v>
      </c>
      <c r="L896" s="1">
        <v>3.19</v>
      </c>
    </row>
    <row r="897" spans="1:12">
      <c r="A897" t="s">
        <v>567</v>
      </c>
      <c r="B897">
        <v>380020</v>
      </c>
      <c r="C897" s="2" t="str">
        <f>"RFSC12PP-190"</f>
        <v>RFSC12PP-190</v>
      </c>
      <c r="D897" t="s">
        <v>920</v>
      </c>
      <c r="E897" t="s">
        <v>4</v>
      </c>
      <c r="F897">
        <v>3.48</v>
      </c>
      <c r="G897">
        <v>0.57999999999999996</v>
      </c>
      <c r="H897" t="s">
        <v>20</v>
      </c>
      <c r="I897" s="1">
        <v>3.37</v>
      </c>
      <c r="J897" s="1">
        <v>3.19</v>
      </c>
      <c r="K897" t="s">
        <v>457</v>
      </c>
      <c r="L897" s="1">
        <v>3.5</v>
      </c>
    </row>
    <row r="898" spans="1:12">
      <c r="A898" t="s">
        <v>567</v>
      </c>
      <c r="B898">
        <v>380021</v>
      </c>
      <c r="C898" s="2" t="str">
        <f>"RFSC2-148"</f>
        <v>RFSC2-148</v>
      </c>
      <c r="D898" t="s">
        <v>921</v>
      </c>
      <c r="E898" t="s">
        <v>4</v>
      </c>
      <c r="F898">
        <v>1.56</v>
      </c>
      <c r="G898">
        <v>0.13</v>
      </c>
      <c r="H898" t="s">
        <v>106</v>
      </c>
      <c r="I898" s="1">
        <v>0.9</v>
      </c>
      <c r="J898" s="1">
        <v>0.85</v>
      </c>
      <c r="K898" t="s">
        <v>457</v>
      </c>
      <c r="L898" s="1">
        <v>0.93</v>
      </c>
    </row>
    <row r="899" spans="1:12">
      <c r="A899" t="s">
        <v>567</v>
      </c>
      <c r="B899">
        <v>380022</v>
      </c>
      <c r="C899" s="2" t="str">
        <f>"RFSC2PP-190"</f>
        <v>RFSC2PP-190</v>
      </c>
      <c r="D899" t="s">
        <v>922</v>
      </c>
      <c r="E899" t="s">
        <v>4</v>
      </c>
      <c r="F899">
        <v>1.56</v>
      </c>
      <c r="G899">
        <v>0.13</v>
      </c>
      <c r="H899" t="s">
        <v>106</v>
      </c>
      <c r="I899" s="1">
        <v>1.01</v>
      </c>
      <c r="J899" s="1">
        <v>0.96</v>
      </c>
      <c r="K899" t="s">
        <v>457</v>
      </c>
      <c r="L899" s="1">
        <v>1.06</v>
      </c>
    </row>
    <row r="900" spans="1:12">
      <c r="A900" t="s">
        <v>567</v>
      </c>
      <c r="B900">
        <v>380023</v>
      </c>
      <c r="C900" s="2" t="str">
        <f>"RFSC6-148"</f>
        <v>RFSC6-148</v>
      </c>
      <c r="D900" t="s">
        <v>923</v>
      </c>
      <c r="E900" t="s">
        <v>4</v>
      </c>
      <c r="F900">
        <v>2.52</v>
      </c>
      <c r="G900">
        <v>0.21</v>
      </c>
      <c r="H900" t="s">
        <v>106</v>
      </c>
      <c r="I900" s="1">
        <v>1.26</v>
      </c>
      <c r="J900" s="1">
        <v>1.2</v>
      </c>
      <c r="K900" t="s">
        <v>457</v>
      </c>
      <c r="L900" s="1">
        <v>1.32</v>
      </c>
    </row>
    <row r="901" spans="1:12">
      <c r="A901" t="s">
        <v>567</v>
      </c>
      <c r="B901">
        <v>380024</v>
      </c>
      <c r="C901" s="2" t="str">
        <f>"RFSC6PP-190"</f>
        <v>RFSC6PP-190</v>
      </c>
      <c r="D901" t="s">
        <v>924</v>
      </c>
      <c r="E901" t="s">
        <v>4</v>
      </c>
      <c r="F901">
        <v>2.2799999999999998</v>
      </c>
      <c r="G901">
        <v>0.19</v>
      </c>
      <c r="H901" t="s">
        <v>106</v>
      </c>
      <c r="I901" s="1">
        <v>1.46</v>
      </c>
      <c r="J901" s="1">
        <v>1.38</v>
      </c>
      <c r="K901" t="s">
        <v>457</v>
      </c>
      <c r="L901" s="1">
        <v>1.52</v>
      </c>
    </row>
    <row r="902" spans="1:12">
      <c r="A902" t="s">
        <v>567</v>
      </c>
      <c r="B902">
        <v>380025</v>
      </c>
      <c r="C902" s="2" t="str">
        <f>"RFSCW1-135"</f>
        <v>RFSCW1-135</v>
      </c>
      <c r="D902" t="s">
        <v>925</v>
      </c>
      <c r="E902" t="s">
        <v>4</v>
      </c>
      <c r="F902">
        <v>4.5599999999999996</v>
      </c>
      <c r="G902">
        <v>0.38</v>
      </c>
      <c r="H902" t="s">
        <v>106</v>
      </c>
      <c r="I902" s="1">
        <v>4.1100000000000003</v>
      </c>
      <c r="J902" s="1">
        <v>3.89</v>
      </c>
      <c r="K902" t="s">
        <v>457</v>
      </c>
      <c r="L902" s="1">
        <v>4.28</v>
      </c>
    </row>
    <row r="903" spans="1:12">
      <c r="A903" t="s">
        <v>567</v>
      </c>
      <c r="B903">
        <v>380026</v>
      </c>
      <c r="C903" s="2" t="str">
        <f>"RFSCW12135"</f>
        <v>RFSCW12135</v>
      </c>
      <c r="D903" t="s">
        <v>926</v>
      </c>
      <c r="E903" t="s">
        <v>4</v>
      </c>
      <c r="F903">
        <v>12</v>
      </c>
      <c r="G903">
        <v>2</v>
      </c>
      <c r="H903" t="s">
        <v>20</v>
      </c>
      <c r="I903" s="1">
        <v>20.100000000000001</v>
      </c>
      <c r="J903" s="1">
        <v>19.05</v>
      </c>
      <c r="K903" t="s">
        <v>457</v>
      </c>
      <c r="L903" s="1">
        <v>20.95</v>
      </c>
    </row>
    <row r="904" spans="1:12">
      <c r="A904" t="s">
        <v>567</v>
      </c>
      <c r="B904">
        <v>380028</v>
      </c>
      <c r="C904" s="2" t="str">
        <f>"RFSCW18-135"</f>
        <v>RFSCW18-135</v>
      </c>
      <c r="D904" t="s">
        <v>927</v>
      </c>
      <c r="E904" t="s">
        <v>4</v>
      </c>
      <c r="F904">
        <v>16.260000000000002</v>
      </c>
      <c r="G904">
        <v>2.71</v>
      </c>
      <c r="H904" t="s">
        <v>20</v>
      </c>
      <c r="I904" s="1">
        <v>27.57</v>
      </c>
      <c r="J904" s="1">
        <v>26.12</v>
      </c>
      <c r="K904" t="s">
        <v>457</v>
      </c>
      <c r="L904" s="1">
        <v>28.73</v>
      </c>
    </row>
    <row r="905" spans="1:12">
      <c r="A905" t="s">
        <v>567</v>
      </c>
      <c r="B905">
        <v>380029</v>
      </c>
      <c r="C905" s="2" t="str">
        <f>"RFSCW2-135"</f>
        <v>RFSCW2-135</v>
      </c>
      <c r="D905" t="s">
        <v>928</v>
      </c>
      <c r="E905" t="s">
        <v>4</v>
      </c>
      <c r="F905">
        <v>6</v>
      </c>
      <c r="G905">
        <v>0.5</v>
      </c>
      <c r="H905" t="s">
        <v>106</v>
      </c>
      <c r="I905" s="1">
        <v>5.68</v>
      </c>
      <c r="J905" s="1">
        <v>5.38</v>
      </c>
      <c r="K905" t="s">
        <v>457</v>
      </c>
      <c r="L905" s="1">
        <v>5.92</v>
      </c>
    </row>
    <row r="906" spans="1:12">
      <c r="A906" t="s">
        <v>567</v>
      </c>
      <c r="B906">
        <v>380030</v>
      </c>
      <c r="C906" s="2" t="str">
        <f>"RFSCW22-135"</f>
        <v>RFSCW22-135</v>
      </c>
      <c r="D906" t="s">
        <v>929</v>
      </c>
      <c r="E906" t="s">
        <v>4</v>
      </c>
      <c r="F906">
        <v>18</v>
      </c>
      <c r="G906">
        <v>3</v>
      </c>
      <c r="H906" t="s">
        <v>20</v>
      </c>
      <c r="I906" s="1">
        <v>31.75</v>
      </c>
      <c r="J906" s="1">
        <v>30.07</v>
      </c>
      <c r="K906" t="s">
        <v>457</v>
      </c>
      <c r="L906" s="1">
        <v>33.08</v>
      </c>
    </row>
    <row r="907" spans="1:12">
      <c r="A907" t="s">
        <v>567</v>
      </c>
      <c r="B907">
        <v>380031</v>
      </c>
      <c r="C907" s="2" t="str">
        <f>"RFSCW4-135"</f>
        <v>RFSCW4-135</v>
      </c>
      <c r="D907" t="s">
        <v>930</v>
      </c>
      <c r="E907" t="s">
        <v>4</v>
      </c>
      <c r="F907">
        <v>10.8</v>
      </c>
      <c r="G907">
        <v>0.9</v>
      </c>
      <c r="H907" t="s">
        <v>106</v>
      </c>
      <c r="I907" s="1">
        <v>9.61</v>
      </c>
      <c r="J907" s="1">
        <v>9.1</v>
      </c>
      <c r="K907" t="s">
        <v>457</v>
      </c>
      <c r="L907" s="1">
        <v>10.01</v>
      </c>
    </row>
    <row r="908" spans="1:12">
      <c r="A908" t="s">
        <v>567</v>
      </c>
      <c r="B908">
        <v>380032</v>
      </c>
      <c r="C908" s="2" t="str">
        <f>"RFSCW6-135"</f>
        <v>RFSCW6-135</v>
      </c>
      <c r="D908" t="s">
        <v>931</v>
      </c>
      <c r="E908" t="s">
        <v>4</v>
      </c>
      <c r="F908">
        <v>12.24</v>
      </c>
      <c r="G908">
        <v>1.02</v>
      </c>
      <c r="H908" t="s">
        <v>106</v>
      </c>
      <c r="I908" s="1">
        <v>11.23</v>
      </c>
      <c r="J908" s="1">
        <v>10.65</v>
      </c>
      <c r="K908" t="s">
        <v>457</v>
      </c>
      <c r="L908" s="1">
        <v>11.71</v>
      </c>
    </row>
    <row r="909" spans="1:12">
      <c r="A909" t="s">
        <v>567</v>
      </c>
      <c r="B909">
        <v>380033</v>
      </c>
      <c r="C909" s="2" t="str">
        <f>"RFSCW8-135"</f>
        <v>RFSCW8-135</v>
      </c>
      <c r="D909" t="s">
        <v>932</v>
      </c>
      <c r="E909" t="s">
        <v>4</v>
      </c>
      <c r="F909">
        <v>15.72</v>
      </c>
      <c r="G909">
        <v>1.31</v>
      </c>
      <c r="H909" t="s">
        <v>106</v>
      </c>
      <c r="I909" s="1">
        <v>14.24</v>
      </c>
      <c r="J909" s="1">
        <v>13.48</v>
      </c>
      <c r="K909" t="s">
        <v>457</v>
      </c>
      <c r="L909" s="1">
        <v>14.83</v>
      </c>
    </row>
    <row r="910" spans="1:12">
      <c r="A910" t="s">
        <v>567</v>
      </c>
      <c r="B910">
        <v>380034</v>
      </c>
      <c r="C910" s="2" t="str">
        <f>"RFSCWC1-135"</f>
        <v>RFSCWC1-135</v>
      </c>
      <c r="D910" t="s">
        <v>933</v>
      </c>
      <c r="E910" t="s">
        <v>4</v>
      </c>
      <c r="F910">
        <v>1.2</v>
      </c>
      <c r="G910">
        <v>0.1</v>
      </c>
      <c r="H910" t="s">
        <v>106</v>
      </c>
      <c r="I910" s="1">
        <v>1.48</v>
      </c>
      <c r="J910" s="1">
        <v>1.4</v>
      </c>
      <c r="K910" t="s">
        <v>457</v>
      </c>
      <c r="L910" s="1">
        <v>1.54</v>
      </c>
    </row>
    <row r="911" spans="1:12">
      <c r="A911" t="s">
        <v>567</v>
      </c>
      <c r="B911">
        <v>380035</v>
      </c>
      <c r="C911" s="2" t="str">
        <f>"RFSCWC12-135"</f>
        <v>RFSCWC12-135</v>
      </c>
      <c r="D911" t="s">
        <v>934</v>
      </c>
      <c r="E911" t="s">
        <v>4</v>
      </c>
      <c r="F911">
        <v>4.5</v>
      </c>
      <c r="G911">
        <v>0.75</v>
      </c>
      <c r="H911" t="s">
        <v>20</v>
      </c>
      <c r="I911" s="1">
        <v>7.68</v>
      </c>
      <c r="J911" s="1">
        <v>7.28</v>
      </c>
      <c r="K911" t="s">
        <v>457</v>
      </c>
      <c r="L911" s="1">
        <v>8.01</v>
      </c>
    </row>
    <row r="912" spans="1:12">
      <c r="A912" t="s">
        <v>567</v>
      </c>
      <c r="B912">
        <v>380037</v>
      </c>
      <c r="C912" s="2" t="str">
        <f>"RFSCWC2-135"</f>
        <v>RFSCWC2-135</v>
      </c>
      <c r="D912" t="s">
        <v>934</v>
      </c>
      <c r="E912" t="s">
        <v>4</v>
      </c>
      <c r="F912">
        <v>2.76</v>
      </c>
      <c r="G912">
        <v>0.23</v>
      </c>
      <c r="H912" t="s">
        <v>106</v>
      </c>
      <c r="I912" s="1">
        <v>2.65</v>
      </c>
      <c r="J912" s="1">
        <v>2.52</v>
      </c>
      <c r="K912" t="s">
        <v>457</v>
      </c>
      <c r="L912" s="1">
        <v>2.77</v>
      </c>
    </row>
    <row r="913" spans="1:12">
      <c r="A913" t="s">
        <v>567</v>
      </c>
      <c r="B913">
        <v>380038</v>
      </c>
      <c r="C913" s="2" t="str">
        <f>"RFSCWC6-135"</f>
        <v>RFSCWC6-135</v>
      </c>
      <c r="D913" t="s">
        <v>934</v>
      </c>
      <c r="E913" t="s">
        <v>4</v>
      </c>
      <c r="F913">
        <v>3.72</v>
      </c>
      <c r="G913">
        <v>0.31</v>
      </c>
      <c r="H913" t="s">
        <v>106</v>
      </c>
      <c r="I913" s="1">
        <v>3.37</v>
      </c>
      <c r="J913" s="1">
        <v>3.19</v>
      </c>
      <c r="K913" t="s">
        <v>457</v>
      </c>
      <c r="L913" s="1">
        <v>3.5</v>
      </c>
    </row>
    <row r="914" spans="1:12">
      <c r="A914" t="s">
        <v>567</v>
      </c>
      <c r="B914">
        <v>467901</v>
      </c>
      <c r="C914" s="2" t="str">
        <f>"RSB1014CW110"</f>
        <v>RSB1014CW110</v>
      </c>
      <c r="D914" t="s">
        <v>935</v>
      </c>
      <c r="E914" t="s">
        <v>4</v>
      </c>
      <c r="F914">
        <v>5</v>
      </c>
      <c r="G914">
        <v>1.25</v>
      </c>
      <c r="H914" t="s">
        <v>153</v>
      </c>
      <c r="I914" s="1">
        <v>11.43</v>
      </c>
      <c r="J914" s="1">
        <v>10.83</v>
      </c>
      <c r="K914" t="s">
        <v>457</v>
      </c>
      <c r="L914" s="1">
        <v>11.91</v>
      </c>
    </row>
    <row r="915" spans="1:12">
      <c r="A915" t="s">
        <v>567</v>
      </c>
      <c r="B915">
        <v>468163</v>
      </c>
      <c r="C915" s="2" t="str">
        <f>"RSB1419CW-110"</f>
        <v>RSB1419CW-110</v>
      </c>
      <c r="D915" t="s">
        <v>936</v>
      </c>
      <c r="E915" t="s">
        <v>4</v>
      </c>
      <c r="F915">
        <v>8</v>
      </c>
      <c r="G915">
        <v>2</v>
      </c>
      <c r="H915" t="s">
        <v>153</v>
      </c>
      <c r="I915" s="1">
        <v>18.53</v>
      </c>
      <c r="J915" s="1">
        <v>17.55</v>
      </c>
      <c r="K915" t="s">
        <v>457</v>
      </c>
      <c r="L915" s="1">
        <v>19.309999999999999</v>
      </c>
    </row>
    <row r="916" spans="1:12">
      <c r="A916" t="s">
        <v>567</v>
      </c>
      <c r="B916">
        <v>380045</v>
      </c>
      <c r="C916" s="2" t="str">
        <f>"SCP12CW-135"</f>
        <v>SCP12CW-135</v>
      </c>
      <c r="D916" t="s">
        <v>937</v>
      </c>
      <c r="E916" t="s">
        <v>4</v>
      </c>
      <c r="F916">
        <v>3</v>
      </c>
      <c r="G916">
        <v>0.25</v>
      </c>
      <c r="H916" t="s">
        <v>106</v>
      </c>
      <c r="I916" s="1">
        <v>4.47</v>
      </c>
      <c r="J916" s="1">
        <v>4.24</v>
      </c>
      <c r="K916" t="s">
        <v>457</v>
      </c>
      <c r="L916" s="1">
        <v>4.66</v>
      </c>
    </row>
    <row r="917" spans="1:12">
      <c r="A917" t="s">
        <v>567</v>
      </c>
      <c r="B917">
        <v>380046</v>
      </c>
      <c r="C917" s="2" t="str">
        <f>"SCP24CW-135"</f>
        <v>SCP24CW-135</v>
      </c>
      <c r="D917" t="s">
        <v>938</v>
      </c>
      <c r="E917" t="s">
        <v>4</v>
      </c>
      <c r="F917">
        <v>4.2</v>
      </c>
      <c r="G917">
        <v>0.35</v>
      </c>
      <c r="H917" t="s">
        <v>106</v>
      </c>
      <c r="I917" s="1">
        <v>5.68</v>
      </c>
      <c r="J917" s="1">
        <v>5.38</v>
      </c>
      <c r="K917" t="s">
        <v>457</v>
      </c>
      <c r="L917" s="1">
        <v>5.92</v>
      </c>
    </row>
    <row r="918" spans="1:12">
      <c r="A918" t="s">
        <v>567</v>
      </c>
      <c r="B918">
        <v>380047</v>
      </c>
      <c r="C918" s="2" t="str">
        <f>"SCP64CW-135"</f>
        <v>SCP64CW-135</v>
      </c>
      <c r="D918" t="s">
        <v>939</v>
      </c>
      <c r="E918" t="s">
        <v>4</v>
      </c>
      <c r="F918">
        <v>4.5</v>
      </c>
      <c r="G918">
        <v>0.75</v>
      </c>
      <c r="H918" t="s">
        <v>20</v>
      </c>
      <c r="I918" s="1">
        <v>8.09</v>
      </c>
      <c r="J918" s="1">
        <v>7.67</v>
      </c>
      <c r="K918" t="s">
        <v>457</v>
      </c>
      <c r="L918" s="1">
        <v>8.44</v>
      </c>
    </row>
    <row r="919" spans="1:12">
      <c r="A919" t="s">
        <v>567</v>
      </c>
      <c r="B919">
        <v>380048</v>
      </c>
      <c r="C919" s="2" t="str">
        <f>"SCP6CW-135"</f>
        <v>SCP6CW-135</v>
      </c>
      <c r="D919" t="s">
        <v>940</v>
      </c>
      <c r="E919" t="s">
        <v>4</v>
      </c>
      <c r="F919">
        <v>2.52</v>
      </c>
      <c r="G919">
        <v>0.21</v>
      </c>
      <c r="H919" t="s">
        <v>106</v>
      </c>
      <c r="I919" s="1">
        <v>4.13</v>
      </c>
      <c r="J919" s="1">
        <v>3.93</v>
      </c>
      <c r="K919" t="s">
        <v>457</v>
      </c>
      <c r="L919" s="1">
        <v>4.32</v>
      </c>
    </row>
    <row r="920" spans="1:12">
      <c r="A920" t="s">
        <v>567</v>
      </c>
      <c r="B920">
        <v>380049</v>
      </c>
      <c r="C920" s="2" t="str">
        <f>"SFC12-453"</f>
        <v>SFC12-453</v>
      </c>
      <c r="D920" t="s">
        <v>941</v>
      </c>
      <c r="E920" t="s">
        <v>4</v>
      </c>
      <c r="F920">
        <v>3</v>
      </c>
      <c r="G920">
        <v>0.5</v>
      </c>
      <c r="H920" t="s">
        <v>20</v>
      </c>
      <c r="I920" s="1">
        <v>3.86</v>
      </c>
      <c r="J920" s="1">
        <v>3.65</v>
      </c>
      <c r="K920" t="s">
        <v>457</v>
      </c>
      <c r="L920" s="1">
        <v>4.0199999999999996</v>
      </c>
    </row>
    <row r="921" spans="1:12">
      <c r="A921" t="s">
        <v>567</v>
      </c>
      <c r="B921">
        <v>502423</v>
      </c>
      <c r="C921" s="2" t="str">
        <f>"SFC12SCPP-190"</f>
        <v>SFC12SCPP-190</v>
      </c>
      <c r="D921" t="s">
        <v>942</v>
      </c>
      <c r="E921" t="s">
        <v>4</v>
      </c>
      <c r="F921">
        <v>2.52</v>
      </c>
      <c r="G921">
        <v>0.42</v>
      </c>
      <c r="H921" t="s">
        <v>20</v>
      </c>
      <c r="I921" s="1">
        <v>3.86</v>
      </c>
      <c r="J921" s="1">
        <v>3.65</v>
      </c>
      <c r="K921" t="s">
        <v>21</v>
      </c>
      <c r="L921" s="1">
        <v>4.0199999999999996</v>
      </c>
    </row>
    <row r="922" spans="1:12">
      <c r="A922" t="s">
        <v>567</v>
      </c>
      <c r="B922">
        <v>380050</v>
      </c>
      <c r="C922" s="2" t="str">
        <f>"SFC2-452"</f>
        <v>SFC2-452</v>
      </c>
      <c r="D922" t="s">
        <v>943</v>
      </c>
      <c r="E922" t="s">
        <v>4</v>
      </c>
      <c r="F922">
        <v>1.26</v>
      </c>
      <c r="G922">
        <v>0.21</v>
      </c>
      <c r="H922" t="s">
        <v>20</v>
      </c>
      <c r="I922" s="1">
        <v>2.13</v>
      </c>
      <c r="J922" s="1">
        <v>2.02</v>
      </c>
      <c r="K922" t="s">
        <v>457</v>
      </c>
      <c r="L922" s="1">
        <v>2.2200000000000002</v>
      </c>
    </row>
    <row r="923" spans="1:12">
      <c r="A923" t="s">
        <v>567</v>
      </c>
      <c r="B923">
        <v>502091</v>
      </c>
      <c r="C923" s="2" t="str">
        <f>"SFC2SCPP"</f>
        <v>SFC2SCPP</v>
      </c>
      <c r="D923" t="s">
        <v>944</v>
      </c>
      <c r="E923" t="s">
        <v>4</v>
      </c>
      <c r="F923">
        <v>0.84</v>
      </c>
      <c r="G923">
        <v>0.14000000000000001</v>
      </c>
      <c r="H923" t="s">
        <v>20</v>
      </c>
      <c r="I923" s="1">
        <v>2.13</v>
      </c>
      <c r="J923" s="1">
        <v>2.02</v>
      </c>
      <c r="K923" t="s">
        <v>21</v>
      </c>
      <c r="L923" s="1">
        <v>2.2200000000000002</v>
      </c>
    </row>
    <row r="924" spans="1:12">
      <c r="A924" t="s">
        <v>567</v>
      </c>
      <c r="B924">
        <v>380051</v>
      </c>
      <c r="C924" s="2" t="str">
        <f>"SFC6-451"</f>
        <v>SFC6-451</v>
      </c>
      <c r="D924" t="s">
        <v>945</v>
      </c>
      <c r="E924" t="s">
        <v>4</v>
      </c>
      <c r="F924">
        <v>1.74</v>
      </c>
      <c r="G924">
        <v>0.28999999999999998</v>
      </c>
      <c r="H924" t="s">
        <v>20</v>
      </c>
      <c r="I924" s="1">
        <v>2.65</v>
      </c>
      <c r="J924" s="1">
        <v>2.52</v>
      </c>
      <c r="K924" t="s">
        <v>457</v>
      </c>
      <c r="L924" s="1">
        <v>2.77</v>
      </c>
    </row>
    <row r="925" spans="1:12">
      <c r="A925" t="s">
        <v>567</v>
      </c>
      <c r="B925">
        <v>502094</v>
      </c>
      <c r="C925" s="2" t="str">
        <f>"SFC6SCPP"</f>
        <v>SFC6SCPP</v>
      </c>
      <c r="D925" t="s">
        <v>946</v>
      </c>
      <c r="E925" t="s">
        <v>4</v>
      </c>
      <c r="F925">
        <v>1.26</v>
      </c>
      <c r="G925">
        <v>0.21</v>
      </c>
      <c r="H925" t="s">
        <v>20</v>
      </c>
      <c r="I925" s="1">
        <v>2.65</v>
      </c>
      <c r="J925" s="1">
        <v>2.52</v>
      </c>
      <c r="K925" t="s">
        <v>21</v>
      </c>
      <c r="L925" s="1">
        <v>2.77</v>
      </c>
    </row>
    <row r="926" spans="1:12">
      <c r="A926" t="s">
        <v>567</v>
      </c>
      <c r="B926">
        <v>389520</v>
      </c>
      <c r="C926" s="2" t="str">
        <f>"SRB5-152"</f>
        <v>SRB5-152</v>
      </c>
      <c r="D926" t="s">
        <v>947</v>
      </c>
      <c r="E926" t="s">
        <v>4</v>
      </c>
      <c r="F926">
        <v>3</v>
      </c>
      <c r="H926" t="s">
        <v>5</v>
      </c>
      <c r="I926" s="1">
        <v>27.42</v>
      </c>
      <c r="J926" s="1">
        <v>25.97</v>
      </c>
      <c r="K926" t="s">
        <v>6</v>
      </c>
    </row>
    <row r="927" spans="1:12">
      <c r="A927" t="s">
        <v>567</v>
      </c>
      <c r="B927">
        <v>381670</v>
      </c>
      <c r="C927" s="2" t="str">
        <f>"TG6-133"</f>
        <v>TG6-133</v>
      </c>
      <c r="D927" t="s">
        <v>948</v>
      </c>
      <c r="E927" t="s">
        <v>4</v>
      </c>
      <c r="F927">
        <v>0.96</v>
      </c>
      <c r="G927">
        <v>0.08</v>
      </c>
      <c r="H927" t="s">
        <v>106</v>
      </c>
      <c r="I927" s="1">
        <v>1.51</v>
      </c>
      <c r="J927" s="1">
        <v>1.43</v>
      </c>
      <c r="K927" t="s">
        <v>457</v>
      </c>
      <c r="L927" s="1">
        <v>1.57</v>
      </c>
    </row>
    <row r="928" spans="1:12">
      <c r="A928" t="s">
        <v>567</v>
      </c>
      <c r="B928">
        <v>388039</v>
      </c>
      <c r="C928" s="2" t="str">
        <f>"TG6-135"</f>
        <v>TG6-135</v>
      </c>
      <c r="D928" t="s">
        <v>949</v>
      </c>
      <c r="E928" t="s">
        <v>4</v>
      </c>
      <c r="F928">
        <v>0.96</v>
      </c>
      <c r="G928">
        <v>0.08</v>
      </c>
      <c r="H928" t="s">
        <v>106</v>
      </c>
      <c r="I928" s="1">
        <v>1.51</v>
      </c>
      <c r="J928" s="1">
        <v>1.43</v>
      </c>
      <c r="K928" t="s">
        <v>457</v>
      </c>
      <c r="L928" s="1">
        <v>1.57</v>
      </c>
    </row>
    <row r="929" spans="1:12">
      <c r="A929" t="s">
        <v>567</v>
      </c>
      <c r="B929">
        <v>381671</v>
      </c>
      <c r="C929" s="2" t="str">
        <f>"TG9-133"</f>
        <v>TG9-133</v>
      </c>
      <c r="D929" t="s">
        <v>950</v>
      </c>
      <c r="E929" t="s">
        <v>4</v>
      </c>
      <c r="F929">
        <v>1.68</v>
      </c>
      <c r="G929">
        <v>0.14000000000000001</v>
      </c>
      <c r="H929" t="s">
        <v>106</v>
      </c>
      <c r="I929" s="1">
        <v>2.41</v>
      </c>
      <c r="J929" s="1">
        <v>2.29</v>
      </c>
      <c r="K929" t="s">
        <v>457</v>
      </c>
      <c r="L929" s="1">
        <v>2.52</v>
      </c>
    </row>
    <row r="930" spans="1:12">
      <c r="A930" t="s">
        <v>567</v>
      </c>
      <c r="B930">
        <v>458175</v>
      </c>
      <c r="C930" s="2" t="str">
        <f>"UPC160-131"</f>
        <v>UPC160-131</v>
      </c>
      <c r="D930" t="s">
        <v>951</v>
      </c>
      <c r="E930" t="s">
        <v>4</v>
      </c>
      <c r="F930">
        <v>16.5</v>
      </c>
      <c r="H930" t="s">
        <v>5</v>
      </c>
      <c r="I930" s="1">
        <v>234.65</v>
      </c>
      <c r="J930" s="1">
        <v>222.3</v>
      </c>
      <c r="K930" t="s">
        <v>6</v>
      </c>
    </row>
    <row r="931" spans="1:12">
      <c r="A931" t="s">
        <v>567</v>
      </c>
      <c r="B931">
        <v>415279</v>
      </c>
      <c r="C931" s="2" t="str">
        <f>"UPC400-131"</f>
        <v>UPC400-131</v>
      </c>
      <c r="D931" t="s">
        <v>952</v>
      </c>
      <c r="E931" t="s">
        <v>4</v>
      </c>
      <c r="F931">
        <v>35</v>
      </c>
      <c r="H931" t="s">
        <v>5</v>
      </c>
      <c r="I931" s="1">
        <v>348.89</v>
      </c>
      <c r="J931" s="1">
        <v>330.53</v>
      </c>
      <c r="K931" t="s">
        <v>6</v>
      </c>
    </row>
    <row r="932" spans="1:12">
      <c r="A932" t="s">
        <v>567</v>
      </c>
      <c r="B932">
        <v>478179</v>
      </c>
      <c r="C932" s="2" t="str">
        <f>"UPCS400-131"</f>
        <v>UPCS400-131</v>
      </c>
      <c r="D932" t="s">
        <v>953</v>
      </c>
      <c r="E932" t="s">
        <v>4</v>
      </c>
      <c r="F932">
        <v>43.13</v>
      </c>
      <c r="H932" t="s">
        <v>5</v>
      </c>
      <c r="I932" s="1">
        <v>318.01</v>
      </c>
      <c r="J932" s="1">
        <v>301.27999999999997</v>
      </c>
      <c r="K932" t="s">
        <v>6</v>
      </c>
    </row>
    <row r="933" spans="1:12">
      <c r="A933" t="s">
        <v>567</v>
      </c>
      <c r="B933">
        <v>368030</v>
      </c>
      <c r="C933" s="2" t="str">
        <f>"WW1000CW-135"</f>
        <v>WW1000CW-135</v>
      </c>
      <c r="D933" t="s">
        <v>954</v>
      </c>
      <c r="E933" t="s">
        <v>4</v>
      </c>
      <c r="F933">
        <v>7</v>
      </c>
      <c r="H933" t="s">
        <v>5</v>
      </c>
      <c r="I933" s="1">
        <v>77.430000000000007</v>
      </c>
      <c r="J933" s="1">
        <v>73.36</v>
      </c>
      <c r="K933" t="s">
        <v>6</v>
      </c>
    </row>
    <row r="934" spans="1:12">
      <c r="A934" t="s">
        <v>567</v>
      </c>
      <c r="B934">
        <v>369883</v>
      </c>
      <c r="C934" s="2" t="str">
        <f>"WW250CW-135"</f>
        <v>WW250CW-135</v>
      </c>
      <c r="D934" t="s">
        <v>955</v>
      </c>
      <c r="E934" t="s">
        <v>4</v>
      </c>
      <c r="F934">
        <v>2.25</v>
      </c>
      <c r="H934" t="s">
        <v>5</v>
      </c>
      <c r="I934" s="1">
        <v>34.46</v>
      </c>
      <c r="J934" s="1">
        <v>32.64</v>
      </c>
      <c r="K934" t="s">
        <v>6</v>
      </c>
    </row>
    <row r="935" spans="1:12">
      <c r="A935" t="s">
        <v>567</v>
      </c>
      <c r="B935">
        <v>367969</v>
      </c>
      <c r="C935" s="2" t="str">
        <f>"WW500CW-135"</f>
        <v>WW500CW-135</v>
      </c>
      <c r="D935" t="s">
        <v>956</v>
      </c>
      <c r="E935" t="s">
        <v>4</v>
      </c>
      <c r="F935">
        <v>4.25</v>
      </c>
      <c r="H935" t="s">
        <v>5</v>
      </c>
      <c r="I935" s="1">
        <v>57.06</v>
      </c>
      <c r="J935" s="1">
        <v>54.05</v>
      </c>
      <c r="K935" t="s">
        <v>6</v>
      </c>
    </row>
    <row r="936" spans="1:12">
      <c r="A936" t="s">
        <v>957</v>
      </c>
      <c r="B936">
        <v>531456</v>
      </c>
      <c r="C936" s="2" t="str">
        <f>"00213"</f>
        <v>00213</v>
      </c>
      <c r="D936" t="s">
        <v>958</v>
      </c>
      <c r="E936" t="s">
        <v>4</v>
      </c>
      <c r="F936">
        <v>10</v>
      </c>
      <c r="H936" t="s">
        <v>5</v>
      </c>
      <c r="I936" s="1">
        <v>56.93</v>
      </c>
      <c r="J936" s="1">
        <v>56</v>
      </c>
      <c r="K936" t="s">
        <v>6</v>
      </c>
    </row>
    <row r="937" spans="1:12">
      <c r="A937" t="s">
        <v>957</v>
      </c>
      <c r="B937">
        <v>531837</v>
      </c>
      <c r="C937" s="2" t="str">
        <f>"00549"</f>
        <v>00549</v>
      </c>
      <c r="D937" t="s">
        <v>959</v>
      </c>
      <c r="E937" t="s">
        <v>4</v>
      </c>
      <c r="F937">
        <v>25</v>
      </c>
      <c r="H937" t="s">
        <v>5</v>
      </c>
      <c r="I937" s="1">
        <v>111.77</v>
      </c>
      <c r="J937" s="1">
        <v>109.93</v>
      </c>
      <c r="K937" t="s">
        <v>6</v>
      </c>
    </row>
    <row r="938" spans="1:12">
      <c r="A938" t="s">
        <v>957</v>
      </c>
      <c r="B938">
        <v>531457</v>
      </c>
      <c r="C938" s="2" t="str">
        <f>"00556"</f>
        <v>00556</v>
      </c>
      <c r="D938" t="s">
        <v>960</v>
      </c>
      <c r="E938" t="s">
        <v>4</v>
      </c>
      <c r="F938">
        <v>51</v>
      </c>
      <c r="H938" t="s">
        <v>5</v>
      </c>
      <c r="I938" s="1">
        <v>237.8</v>
      </c>
      <c r="J938" s="1">
        <v>233.91</v>
      </c>
      <c r="K938" t="s">
        <v>6</v>
      </c>
    </row>
    <row r="939" spans="1:12">
      <c r="A939" t="s">
        <v>957</v>
      </c>
      <c r="B939">
        <v>531458</v>
      </c>
      <c r="C939" s="2" t="str">
        <f>"01005"</f>
        <v>01005</v>
      </c>
      <c r="D939" t="s">
        <v>961</v>
      </c>
      <c r="E939" t="s">
        <v>4</v>
      </c>
      <c r="F939">
        <v>12</v>
      </c>
      <c r="H939" t="s">
        <v>5</v>
      </c>
      <c r="I939" s="1">
        <v>79.319999999999993</v>
      </c>
      <c r="J939" s="1">
        <v>78.02</v>
      </c>
      <c r="K939" t="s">
        <v>6</v>
      </c>
    </row>
    <row r="940" spans="1:12">
      <c r="A940" t="s">
        <v>957</v>
      </c>
      <c r="B940">
        <v>531459</v>
      </c>
      <c r="C940" s="2" t="str">
        <f>"01133"</f>
        <v>01133</v>
      </c>
      <c r="D940" t="s">
        <v>962</v>
      </c>
      <c r="E940" t="s">
        <v>4</v>
      </c>
      <c r="F940">
        <v>35</v>
      </c>
      <c r="H940" t="s">
        <v>5</v>
      </c>
      <c r="I940" s="1">
        <v>155.96</v>
      </c>
      <c r="J940" s="1">
        <v>153.4</v>
      </c>
      <c r="K940" t="s">
        <v>6</v>
      </c>
    </row>
    <row r="941" spans="1:12">
      <c r="A941" t="s">
        <v>957</v>
      </c>
      <c r="B941">
        <v>531460</v>
      </c>
      <c r="C941" s="2" t="str">
        <f>"01141"</f>
        <v>01141</v>
      </c>
      <c r="D941" t="s">
        <v>963</v>
      </c>
      <c r="E941" t="s">
        <v>4</v>
      </c>
      <c r="F941">
        <v>35</v>
      </c>
      <c r="H941" t="s">
        <v>5</v>
      </c>
      <c r="I941" s="1">
        <v>155.96</v>
      </c>
      <c r="J941" s="1">
        <v>153.4</v>
      </c>
      <c r="K941" t="s">
        <v>6</v>
      </c>
    </row>
    <row r="942" spans="1:12">
      <c r="A942" t="s">
        <v>957</v>
      </c>
      <c r="B942">
        <v>531461</v>
      </c>
      <c r="C942" s="2" t="str">
        <f>"01158"</f>
        <v>01158</v>
      </c>
      <c r="D942" t="s">
        <v>964</v>
      </c>
      <c r="E942" t="s">
        <v>4</v>
      </c>
      <c r="F942">
        <v>22</v>
      </c>
      <c r="H942" t="s">
        <v>5</v>
      </c>
      <c r="I942" s="1">
        <v>118.88</v>
      </c>
      <c r="J942" s="1">
        <v>116.94</v>
      </c>
      <c r="K942" t="s">
        <v>6</v>
      </c>
    </row>
    <row r="943" spans="1:12">
      <c r="A943" t="s">
        <v>957</v>
      </c>
      <c r="B943">
        <v>531462</v>
      </c>
      <c r="C943" s="2" t="str">
        <f>"01166"</f>
        <v>01166</v>
      </c>
      <c r="D943" t="s">
        <v>965</v>
      </c>
      <c r="E943" t="s">
        <v>4</v>
      </c>
      <c r="F943">
        <v>16</v>
      </c>
      <c r="H943" t="s">
        <v>5</v>
      </c>
      <c r="I943" s="1">
        <v>92.87</v>
      </c>
      <c r="J943" s="1">
        <v>91.35</v>
      </c>
      <c r="K943" t="s">
        <v>6</v>
      </c>
    </row>
    <row r="944" spans="1:12">
      <c r="A944" t="s">
        <v>957</v>
      </c>
      <c r="B944">
        <v>531463</v>
      </c>
      <c r="C944" s="2" t="str">
        <f>"01224"</f>
        <v>01224</v>
      </c>
      <c r="D944" t="s">
        <v>966</v>
      </c>
      <c r="E944" t="s">
        <v>4</v>
      </c>
      <c r="F944">
        <v>37</v>
      </c>
      <c r="H944" t="s">
        <v>5</v>
      </c>
      <c r="I944" s="1">
        <v>196.66</v>
      </c>
      <c r="J944" s="1">
        <v>193.44</v>
      </c>
      <c r="K944" t="s">
        <v>6</v>
      </c>
    </row>
    <row r="945" spans="1:11">
      <c r="A945" t="s">
        <v>957</v>
      </c>
      <c r="B945">
        <v>531464</v>
      </c>
      <c r="C945" s="2" t="str">
        <f>"01273"</f>
        <v>01273</v>
      </c>
      <c r="D945" t="s">
        <v>967</v>
      </c>
      <c r="E945" t="s">
        <v>4</v>
      </c>
      <c r="F945">
        <v>18</v>
      </c>
      <c r="H945" t="s">
        <v>5</v>
      </c>
      <c r="I945" s="1">
        <v>83.61</v>
      </c>
      <c r="J945" s="1">
        <v>82.24</v>
      </c>
      <c r="K945" t="s">
        <v>6</v>
      </c>
    </row>
    <row r="946" spans="1:11">
      <c r="A946" t="s">
        <v>957</v>
      </c>
      <c r="B946">
        <v>531465</v>
      </c>
      <c r="C946" s="2" t="str">
        <f>"04757"</f>
        <v>04757</v>
      </c>
      <c r="D946" t="s">
        <v>968</v>
      </c>
      <c r="E946" t="s">
        <v>4</v>
      </c>
      <c r="F946">
        <v>15</v>
      </c>
      <c r="H946" t="s">
        <v>5</v>
      </c>
      <c r="I946" s="1">
        <v>91.35</v>
      </c>
      <c r="J946" s="1">
        <v>89.86</v>
      </c>
      <c r="K946" t="s">
        <v>6</v>
      </c>
    </row>
    <row r="947" spans="1:11">
      <c r="A947" t="s">
        <v>957</v>
      </c>
      <c r="B947">
        <v>531466</v>
      </c>
      <c r="C947" s="2" t="str">
        <f>"05273"</f>
        <v>05273</v>
      </c>
      <c r="D947" t="s">
        <v>969</v>
      </c>
      <c r="E947" t="s">
        <v>4</v>
      </c>
      <c r="F947">
        <v>18</v>
      </c>
      <c r="H947" t="s">
        <v>5</v>
      </c>
      <c r="I947" s="1">
        <v>113.89</v>
      </c>
      <c r="J947" s="1">
        <v>112.03</v>
      </c>
      <c r="K947" t="s">
        <v>6</v>
      </c>
    </row>
    <row r="948" spans="1:11">
      <c r="A948" t="s">
        <v>957</v>
      </c>
      <c r="B948">
        <v>531467</v>
      </c>
      <c r="C948" s="2" t="str">
        <f>"05425"</f>
        <v>05425</v>
      </c>
      <c r="D948" t="s">
        <v>970</v>
      </c>
      <c r="E948" t="s">
        <v>4</v>
      </c>
      <c r="F948">
        <v>19</v>
      </c>
      <c r="H948" t="s">
        <v>5</v>
      </c>
      <c r="I948" s="1">
        <v>107.36</v>
      </c>
      <c r="J948" s="1">
        <v>105.6</v>
      </c>
      <c r="K948" t="s">
        <v>6</v>
      </c>
    </row>
    <row r="949" spans="1:11">
      <c r="A949" t="s">
        <v>957</v>
      </c>
      <c r="B949">
        <v>531468</v>
      </c>
      <c r="C949" s="2" t="str">
        <f>"07131"</f>
        <v>07131</v>
      </c>
      <c r="D949" t="s">
        <v>971</v>
      </c>
      <c r="E949" t="s">
        <v>4</v>
      </c>
      <c r="F949">
        <v>15</v>
      </c>
      <c r="H949" t="s">
        <v>5</v>
      </c>
      <c r="I949" s="1">
        <v>110.72</v>
      </c>
      <c r="J949" s="1">
        <v>108.9</v>
      </c>
      <c r="K949" t="s">
        <v>6</v>
      </c>
    </row>
    <row r="950" spans="1:11">
      <c r="A950" t="s">
        <v>957</v>
      </c>
      <c r="B950">
        <v>531470</v>
      </c>
      <c r="C950" s="2" t="str">
        <f>"07134"</f>
        <v>07134</v>
      </c>
      <c r="D950" t="s">
        <v>972</v>
      </c>
      <c r="E950" t="s">
        <v>4</v>
      </c>
      <c r="F950">
        <v>11</v>
      </c>
      <c r="H950" t="s">
        <v>5</v>
      </c>
      <c r="I950" s="1">
        <v>97.78</v>
      </c>
      <c r="J950" s="1">
        <v>96.17</v>
      </c>
      <c r="K950" t="s">
        <v>6</v>
      </c>
    </row>
    <row r="951" spans="1:11">
      <c r="A951" t="s">
        <v>957</v>
      </c>
      <c r="B951">
        <v>531472</v>
      </c>
      <c r="C951" s="2" t="str">
        <f>"08781"</f>
        <v>08781</v>
      </c>
      <c r="D951" t="s">
        <v>973</v>
      </c>
      <c r="E951" t="s">
        <v>4</v>
      </c>
      <c r="F951">
        <v>22</v>
      </c>
      <c r="H951" t="s">
        <v>5</v>
      </c>
      <c r="I951" s="1">
        <v>182.83</v>
      </c>
      <c r="J951" s="1">
        <v>179.83</v>
      </c>
      <c r="K951" t="s">
        <v>6</v>
      </c>
    </row>
    <row r="952" spans="1:11">
      <c r="A952" t="s">
        <v>957</v>
      </c>
      <c r="B952">
        <v>531475</v>
      </c>
      <c r="C952" s="2" t="str">
        <f>"09232"</f>
        <v>09232</v>
      </c>
      <c r="D952" t="s">
        <v>974</v>
      </c>
      <c r="E952" t="s">
        <v>4</v>
      </c>
      <c r="F952">
        <v>6</v>
      </c>
      <c r="H952" t="s">
        <v>5</v>
      </c>
      <c r="I952" s="1">
        <v>45.68</v>
      </c>
      <c r="J952" s="1">
        <v>44.93</v>
      </c>
      <c r="K952" t="s">
        <v>6</v>
      </c>
    </row>
    <row r="953" spans="1:11">
      <c r="A953" t="s">
        <v>957</v>
      </c>
      <c r="B953">
        <v>531476</v>
      </c>
      <c r="C953" s="2" t="str">
        <f>"09994"</f>
        <v>09994</v>
      </c>
      <c r="D953" t="s">
        <v>975</v>
      </c>
      <c r="E953" t="s">
        <v>4</v>
      </c>
      <c r="F953">
        <v>18</v>
      </c>
      <c r="H953" t="s">
        <v>5</v>
      </c>
      <c r="I953" s="1">
        <v>73.62</v>
      </c>
      <c r="J953" s="1">
        <v>72.41</v>
      </c>
      <c r="K953" t="s">
        <v>6</v>
      </c>
    </row>
    <row r="954" spans="1:11">
      <c r="A954" t="s">
        <v>957</v>
      </c>
      <c r="B954">
        <v>531478</v>
      </c>
      <c r="C954" s="2" t="str">
        <f>"10007"</f>
        <v>10007</v>
      </c>
      <c r="D954" t="s">
        <v>976</v>
      </c>
      <c r="E954" t="s">
        <v>4</v>
      </c>
      <c r="F954">
        <v>24</v>
      </c>
      <c r="H954" t="s">
        <v>5</v>
      </c>
      <c r="I954" s="1">
        <v>84.72</v>
      </c>
      <c r="J954" s="1">
        <v>83.33</v>
      </c>
      <c r="K954" t="s">
        <v>6</v>
      </c>
    </row>
    <row r="955" spans="1:11">
      <c r="A955" t="s">
        <v>957</v>
      </c>
      <c r="B955">
        <v>531480</v>
      </c>
      <c r="C955" s="2" t="str">
        <f>"10027"</f>
        <v>10027</v>
      </c>
      <c r="D955" t="s">
        <v>977</v>
      </c>
      <c r="E955" t="s">
        <v>4</v>
      </c>
      <c r="F955">
        <v>25</v>
      </c>
      <c r="H955" t="s">
        <v>5</v>
      </c>
      <c r="I955" s="1">
        <v>109.36</v>
      </c>
      <c r="J955" s="1">
        <v>107.57</v>
      </c>
      <c r="K955" t="s">
        <v>6</v>
      </c>
    </row>
    <row r="956" spans="1:11">
      <c r="A956" t="s">
        <v>957</v>
      </c>
      <c r="B956">
        <v>531657</v>
      </c>
      <c r="C956" s="2" t="str">
        <f>"101223"</f>
        <v>101223</v>
      </c>
      <c r="D956" t="s">
        <v>978</v>
      </c>
      <c r="E956" t="s">
        <v>4</v>
      </c>
      <c r="F956">
        <v>20</v>
      </c>
      <c r="H956" t="s">
        <v>5</v>
      </c>
      <c r="I956" s="1">
        <v>100.89</v>
      </c>
      <c r="J956" s="1">
        <v>99.32</v>
      </c>
      <c r="K956" t="s">
        <v>6</v>
      </c>
    </row>
    <row r="957" spans="1:11">
      <c r="A957" t="s">
        <v>957</v>
      </c>
      <c r="B957">
        <v>531658</v>
      </c>
      <c r="C957" s="2" t="str">
        <f>"101226"</f>
        <v>101226</v>
      </c>
      <c r="D957" t="s">
        <v>979</v>
      </c>
      <c r="E957" t="s">
        <v>4</v>
      </c>
      <c r="F957">
        <v>8</v>
      </c>
      <c r="H957" t="s">
        <v>5</v>
      </c>
      <c r="I957" s="1">
        <v>43.06</v>
      </c>
      <c r="J957" s="1">
        <v>42.39</v>
      </c>
      <c r="K957" t="s">
        <v>6</v>
      </c>
    </row>
    <row r="958" spans="1:11">
      <c r="A958" t="s">
        <v>957</v>
      </c>
      <c r="B958">
        <v>531669</v>
      </c>
      <c r="C958" s="2" t="str">
        <f>"101231"</f>
        <v>101231</v>
      </c>
      <c r="D958" t="s">
        <v>980</v>
      </c>
      <c r="E958" t="s">
        <v>4</v>
      </c>
      <c r="F958">
        <v>22</v>
      </c>
      <c r="H958" t="s">
        <v>5</v>
      </c>
      <c r="I958" s="1">
        <v>62.92</v>
      </c>
      <c r="J958" s="1">
        <v>61.94</v>
      </c>
      <c r="K958" t="s">
        <v>6</v>
      </c>
    </row>
    <row r="959" spans="1:11">
      <c r="A959" t="s">
        <v>957</v>
      </c>
      <c r="B959">
        <v>531683</v>
      </c>
      <c r="C959" s="2" t="str">
        <f>"1012316"</f>
        <v>1012316</v>
      </c>
      <c r="D959" t="s">
        <v>981</v>
      </c>
      <c r="E959" t="s">
        <v>4</v>
      </c>
      <c r="F959">
        <v>13</v>
      </c>
      <c r="H959" t="s">
        <v>5</v>
      </c>
      <c r="I959" s="1">
        <v>23.75</v>
      </c>
      <c r="J959" s="1">
        <v>23.38</v>
      </c>
      <c r="K959" t="s">
        <v>6</v>
      </c>
    </row>
    <row r="960" spans="1:11">
      <c r="A960" t="s">
        <v>957</v>
      </c>
      <c r="B960">
        <v>531684</v>
      </c>
      <c r="C960" s="2" t="str">
        <f>"1012317"</f>
        <v>1012317</v>
      </c>
      <c r="D960" t="s">
        <v>982</v>
      </c>
      <c r="E960" t="s">
        <v>4</v>
      </c>
      <c r="F960">
        <v>13</v>
      </c>
      <c r="H960" t="s">
        <v>5</v>
      </c>
      <c r="I960" s="1">
        <v>23.75</v>
      </c>
      <c r="J960" s="1">
        <v>23.38</v>
      </c>
      <c r="K960" t="s">
        <v>6</v>
      </c>
    </row>
    <row r="961" spans="1:11">
      <c r="A961" t="s">
        <v>957</v>
      </c>
      <c r="B961">
        <v>531688</v>
      </c>
      <c r="C961" s="2" t="str">
        <f>"1012319"</f>
        <v>1012319</v>
      </c>
      <c r="D961" t="s">
        <v>983</v>
      </c>
      <c r="E961" t="s">
        <v>4</v>
      </c>
      <c r="F961">
        <v>13</v>
      </c>
      <c r="H961" t="s">
        <v>5</v>
      </c>
      <c r="I961" s="1">
        <v>23.75</v>
      </c>
      <c r="J961" s="1">
        <v>23.38</v>
      </c>
      <c r="K961" t="s">
        <v>6</v>
      </c>
    </row>
    <row r="962" spans="1:11">
      <c r="A962" t="s">
        <v>957</v>
      </c>
      <c r="B962">
        <v>531659</v>
      </c>
      <c r="C962" s="2" t="str">
        <f>"102086"</f>
        <v>102086</v>
      </c>
      <c r="D962" t="s">
        <v>984</v>
      </c>
      <c r="E962" t="s">
        <v>4</v>
      </c>
      <c r="F962">
        <v>21</v>
      </c>
      <c r="H962" t="s">
        <v>5</v>
      </c>
      <c r="I962" s="1">
        <v>100.89</v>
      </c>
      <c r="J962" s="1">
        <v>99.32</v>
      </c>
      <c r="K962" t="s">
        <v>6</v>
      </c>
    </row>
    <row r="963" spans="1:11">
      <c r="A963" t="s">
        <v>957</v>
      </c>
      <c r="B963">
        <v>531484</v>
      </c>
      <c r="C963" s="2" t="str">
        <f>"12558"</f>
        <v>12558</v>
      </c>
      <c r="D963" t="s">
        <v>985</v>
      </c>
      <c r="E963" t="s">
        <v>4</v>
      </c>
      <c r="F963">
        <v>18</v>
      </c>
      <c r="H963" t="s">
        <v>5</v>
      </c>
      <c r="I963" s="1">
        <v>111.77</v>
      </c>
      <c r="J963" s="1">
        <v>109.93</v>
      </c>
      <c r="K963" t="s">
        <v>6</v>
      </c>
    </row>
    <row r="964" spans="1:11">
      <c r="A964" t="s">
        <v>957</v>
      </c>
      <c r="B964">
        <v>531699</v>
      </c>
      <c r="C964" s="2" t="str">
        <f>"12652"</f>
        <v>12652</v>
      </c>
      <c r="D964" t="s">
        <v>986</v>
      </c>
      <c r="E964" t="s">
        <v>4</v>
      </c>
      <c r="F964">
        <v>36</v>
      </c>
      <c r="H964" t="s">
        <v>5</v>
      </c>
      <c r="I964" s="1">
        <v>126.44</v>
      </c>
      <c r="J964" s="1">
        <v>124.37</v>
      </c>
      <c r="K964" t="s">
        <v>6</v>
      </c>
    </row>
    <row r="965" spans="1:11">
      <c r="A965" t="s">
        <v>957</v>
      </c>
      <c r="B965">
        <v>531689</v>
      </c>
      <c r="C965" s="2" t="str">
        <f>"12926"</f>
        <v>12926</v>
      </c>
      <c r="D965" t="s">
        <v>987</v>
      </c>
      <c r="E965" t="s">
        <v>4</v>
      </c>
      <c r="F965">
        <v>15</v>
      </c>
      <c r="H965" t="s">
        <v>5</v>
      </c>
      <c r="I965" s="1">
        <v>91.35</v>
      </c>
      <c r="J965" s="1">
        <v>89.86</v>
      </c>
      <c r="K965" t="s">
        <v>6</v>
      </c>
    </row>
    <row r="966" spans="1:11">
      <c r="A966" t="s">
        <v>957</v>
      </c>
      <c r="B966">
        <v>539054</v>
      </c>
      <c r="C966" s="2" t="str">
        <f>"135216"</f>
        <v>135216</v>
      </c>
      <c r="D966" t="s">
        <v>988</v>
      </c>
      <c r="E966" t="s">
        <v>4</v>
      </c>
      <c r="F966">
        <v>7</v>
      </c>
      <c r="H966" t="s">
        <v>5</v>
      </c>
      <c r="I966" s="1">
        <v>33.630000000000003</v>
      </c>
      <c r="J966" s="1">
        <v>33.11</v>
      </c>
      <c r="K966" t="s">
        <v>6</v>
      </c>
    </row>
    <row r="967" spans="1:11">
      <c r="A967" t="s">
        <v>957</v>
      </c>
      <c r="B967">
        <v>531486</v>
      </c>
      <c r="C967" s="2" t="str">
        <f>"14611"</f>
        <v>14611</v>
      </c>
      <c r="D967" t="s">
        <v>989</v>
      </c>
      <c r="E967" t="s">
        <v>4</v>
      </c>
      <c r="F967">
        <v>21</v>
      </c>
      <c r="H967" t="s">
        <v>5</v>
      </c>
      <c r="I967" s="1">
        <v>143.94</v>
      </c>
      <c r="J967" s="1">
        <v>141.58000000000001</v>
      </c>
      <c r="K967" t="s">
        <v>6</v>
      </c>
    </row>
    <row r="968" spans="1:11">
      <c r="A968" t="s">
        <v>957</v>
      </c>
      <c r="B968">
        <v>531701</v>
      </c>
      <c r="C968" s="2" t="str">
        <f>"14798"</f>
        <v>14798</v>
      </c>
      <c r="D968" t="s">
        <v>990</v>
      </c>
      <c r="E968" t="s">
        <v>4</v>
      </c>
      <c r="F968">
        <v>7</v>
      </c>
      <c r="H968" t="s">
        <v>5</v>
      </c>
      <c r="I968" s="1">
        <v>99.3</v>
      </c>
      <c r="J968" s="1">
        <v>97.67</v>
      </c>
      <c r="K968" t="s">
        <v>6</v>
      </c>
    </row>
    <row r="969" spans="1:11">
      <c r="A969" t="s">
        <v>957</v>
      </c>
      <c r="B969">
        <v>531702</v>
      </c>
      <c r="C969" s="2" t="str">
        <f>"15442"</f>
        <v>15442</v>
      </c>
      <c r="D969" t="s">
        <v>991</v>
      </c>
      <c r="E969" t="s">
        <v>4</v>
      </c>
      <c r="F969">
        <v>8</v>
      </c>
      <c r="H969" t="s">
        <v>5</v>
      </c>
      <c r="I969" s="1">
        <v>55.6</v>
      </c>
      <c r="J969" s="1">
        <v>54.69</v>
      </c>
      <c r="K969" t="s">
        <v>6</v>
      </c>
    </row>
    <row r="970" spans="1:11">
      <c r="A970" t="s">
        <v>957</v>
      </c>
      <c r="B970">
        <v>531680</v>
      </c>
      <c r="C970" s="2" t="str">
        <f>"165629"</f>
        <v>165629</v>
      </c>
      <c r="D970" t="s">
        <v>992</v>
      </c>
      <c r="E970" t="s">
        <v>4</v>
      </c>
      <c r="F970">
        <v>31</v>
      </c>
      <c r="H970" t="s">
        <v>5</v>
      </c>
      <c r="I970" s="1">
        <v>52.83</v>
      </c>
      <c r="J970" s="1">
        <v>52.01</v>
      </c>
      <c r="K970" t="s">
        <v>6</v>
      </c>
    </row>
    <row r="971" spans="1:11">
      <c r="A971" t="s">
        <v>957</v>
      </c>
      <c r="B971">
        <v>531488</v>
      </c>
      <c r="C971" s="2" t="str">
        <f>"17197"</f>
        <v>17197</v>
      </c>
      <c r="D971" t="s">
        <v>993</v>
      </c>
      <c r="E971" t="s">
        <v>4</v>
      </c>
      <c r="F971">
        <v>9</v>
      </c>
      <c r="H971" t="s">
        <v>5</v>
      </c>
      <c r="I971" s="1">
        <v>29.67</v>
      </c>
      <c r="J971" s="1">
        <v>29.19</v>
      </c>
      <c r="K971" t="s">
        <v>6</v>
      </c>
    </row>
    <row r="972" spans="1:11">
      <c r="A972" t="s">
        <v>957</v>
      </c>
      <c r="B972">
        <v>531502</v>
      </c>
      <c r="C972" s="2" t="str">
        <f>"17198"</f>
        <v>17198</v>
      </c>
      <c r="D972" t="s">
        <v>994</v>
      </c>
      <c r="E972" t="s">
        <v>4</v>
      </c>
      <c r="F972">
        <v>10</v>
      </c>
      <c r="H972" t="s">
        <v>5</v>
      </c>
      <c r="I972" s="1">
        <v>29.67</v>
      </c>
      <c r="J972" s="1">
        <v>29.19</v>
      </c>
      <c r="K972" t="s">
        <v>6</v>
      </c>
    </row>
    <row r="973" spans="1:11">
      <c r="A973" t="s">
        <v>957</v>
      </c>
      <c r="B973">
        <v>531504</v>
      </c>
      <c r="C973" s="2" t="str">
        <f>"19343"</f>
        <v>19343</v>
      </c>
      <c r="D973" t="s">
        <v>995</v>
      </c>
      <c r="E973" t="s">
        <v>4</v>
      </c>
      <c r="F973">
        <v>23</v>
      </c>
      <c r="H973" t="s">
        <v>5</v>
      </c>
      <c r="I973" s="1">
        <v>55.55</v>
      </c>
      <c r="J973" s="1">
        <v>54.64</v>
      </c>
      <c r="K973" t="s">
        <v>6</v>
      </c>
    </row>
    <row r="974" spans="1:11">
      <c r="A974" t="s">
        <v>957</v>
      </c>
      <c r="B974">
        <v>537242</v>
      </c>
      <c r="C974" s="2" t="str">
        <f>"19415"</f>
        <v>19415</v>
      </c>
      <c r="D974" t="s">
        <v>996</v>
      </c>
      <c r="E974" t="s">
        <v>4</v>
      </c>
      <c r="F974">
        <v>27</v>
      </c>
      <c r="H974" t="s">
        <v>5</v>
      </c>
      <c r="I974" s="1">
        <v>76.59</v>
      </c>
      <c r="J974" s="1">
        <v>75.34</v>
      </c>
      <c r="K974" t="s">
        <v>6</v>
      </c>
    </row>
    <row r="975" spans="1:11">
      <c r="A975" t="s">
        <v>957</v>
      </c>
      <c r="B975">
        <v>531506</v>
      </c>
      <c r="C975" s="2" t="str">
        <f>"20750"</f>
        <v>20750</v>
      </c>
      <c r="D975" t="s">
        <v>997</v>
      </c>
      <c r="E975" t="s">
        <v>4</v>
      </c>
      <c r="F975">
        <v>41</v>
      </c>
      <c r="H975" t="s">
        <v>5</v>
      </c>
      <c r="I975" s="1">
        <v>157.01</v>
      </c>
      <c r="J975" s="1">
        <v>154.44</v>
      </c>
      <c r="K975" t="s">
        <v>6</v>
      </c>
    </row>
    <row r="976" spans="1:11">
      <c r="A976" t="s">
        <v>957</v>
      </c>
      <c r="B976">
        <v>531508</v>
      </c>
      <c r="C976" s="2" t="str">
        <f>"20864"</f>
        <v>20864</v>
      </c>
      <c r="D976" t="s">
        <v>998</v>
      </c>
      <c r="E976" t="s">
        <v>4</v>
      </c>
      <c r="F976">
        <v>27</v>
      </c>
      <c r="H976" t="s">
        <v>5</v>
      </c>
      <c r="I976" s="1">
        <v>69.09</v>
      </c>
      <c r="J976" s="1">
        <v>67.95</v>
      </c>
      <c r="K976" t="s">
        <v>6</v>
      </c>
    </row>
    <row r="977" spans="1:11">
      <c r="A977" t="s">
        <v>957</v>
      </c>
      <c r="B977">
        <v>531509</v>
      </c>
      <c r="C977" s="2" t="str">
        <f>"20865"</f>
        <v>20865</v>
      </c>
      <c r="D977" t="s">
        <v>999</v>
      </c>
      <c r="E977" t="s">
        <v>4</v>
      </c>
      <c r="F977">
        <v>23</v>
      </c>
      <c r="H977" t="s">
        <v>5</v>
      </c>
      <c r="I977" s="1">
        <v>56.97</v>
      </c>
      <c r="J977" s="1">
        <v>56.04</v>
      </c>
      <c r="K977" t="s">
        <v>6</v>
      </c>
    </row>
    <row r="978" spans="1:11">
      <c r="A978" t="s">
        <v>957</v>
      </c>
      <c r="B978">
        <v>531511</v>
      </c>
      <c r="C978" s="2" t="str">
        <f>"20866"</f>
        <v>20866</v>
      </c>
      <c r="D978" t="s">
        <v>1000</v>
      </c>
      <c r="E978" t="s">
        <v>4</v>
      </c>
      <c r="F978">
        <v>22</v>
      </c>
      <c r="H978" t="s">
        <v>5</v>
      </c>
      <c r="I978" s="1">
        <v>53.51</v>
      </c>
      <c r="J978" s="1">
        <v>52.63</v>
      </c>
      <c r="K978" t="s">
        <v>6</v>
      </c>
    </row>
    <row r="979" spans="1:11">
      <c r="A979" t="s">
        <v>957</v>
      </c>
      <c r="B979">
        <v>531512</v>
      </c>
      <c r="C979" s="2" t="str">
        <f>"20867"</f>
        <v>20867</v>
      </c>
      <c r="D979" t="s">
        <v>1001</v>
      </c>
      <c r="E979" t="s">
        <v>4</v>
      </c>
      <c r="F979">
        <v>22</v>
      </c>
      <c r="H979" t="s">
        <v>5</v>
      </c>
      <c r="I979" s="1">
        <v>53.51</v>
      </c>
      <c r="J979" s="1">
        <v>52.63</v>
      </c>
      <c r="K979" t="s">
        <v>6</v>
      </c>
    </row>
    <row r="980" spans="1:11">
      <c r="A980" t="s">
        <v>957</v>
      </c>
      <c r="B980">
        <v>531524</v>
      </c>
      <c r="C980" s="2" t="str">
        <f>"20868"</f>
        <v>20868</v>
      </c>
      <c r="D980" t="s">
        <v>1002</v>
      </c>
      <c r="E980" t="s">
        <v>4</v>
      </c>
      <c r="F980">
        <v>18</v>
      </c>
      <c r="H980" t="s">
        <v>5</v>
      </c>
      <c r="I980" s="1">
        <v>51.9</v>
      </c>
      <c r="J980" s="1">
        <v>51.05</v>
      </c>
      <c r="K980" t="s">
        <v>6</v>
      </c>
    </row>
    <row r="981" spans="1:11">
      <c r="A981" t="s">
        <v>957</v>
      </c>
      <c r="B981">
        <v>531526</v>
      </c>
      <c r="C981" s="2" t="str">
        <f>"20869"</f>
        <v>20869</v>
      </c>
      <c r="D981" t="s">
        <v>1003</v>
      </c>
      <c r="E981" t="s">
        <v>4</v>
      </c>
      <c r="F981">
        <v>16</v>
      </c>
      <c r="H981" t="s">
        <v>5</v>
      </c>
      <c r="I981" s="1">
        <v>47.41</v>
      </c>
      <c r="J981" s="1">
        <v>46.63</v>
      </c>
      <c r="K981" t="s">
        <v>6</v>
      </c>
    </row>
    <row r="982" spans="1:11">
      <c r="A982" t="s">
        <v>957</v>
      </c>
      <c r="B982">
        <v>531529</v>
      </c>
      <c r="C982" s="2" t="str">
        <f>"20871"</f>
        <v>20871</v>
      </c>
      <c r="D982" t="s">
        <v>1004</v>
      </c>
      <c r="E982" t="s">
        <v>4</v>
      </c>
      <c r="F982">
        <v>15</v>
      </c>
      <c r="H982" t="s">
        <v>5</v>
      </c>
      <c r="I982" s="1">
        <v>42.8</v>
      </c>
      <c r="J982" s="1">
        <v>42.1</v>
      </c>
      <c r="K982" t="s">
        <v>6</v>
      </c>
    </row>
    <row r="983" spans="1:11">
      <c r="A983" t="s">
        <v>957</v>
      </c>
      <c r="B983">
        <v>531530</v>
      </c>
      <c r="C983" s="2" t="str">
        <f>"20873"</f>
        <v>20873</v>
      </c>
      <c r="D983" t="s">
        <v>1005</v>
      </c>
      <c r="E983" t="s">
        <v>4</v>
      </c>
      <c r="F983">
        <v>20</v>
      </c>
      <c r="H983" t="s">
        <v>5</v>
      </c>
      <c r="I983" s="1">
        <v>62.11</v>
      </c>
      <c r="J983" s="1">
        <v>61.09</v>
      </c>
      <c r="K983" t="s">
        <v>6</v>
      </c>
    </row>
    <row r="984" spans="1:11">
      <c r="A984" t="s">
        <v>957</v>
      </c>
      <c r="B984">
        <v>531531</v>
      </c>
      <c r="C984" s="2" t="str">
        <f>"20874"</f>
        <v>20874</v>
      </c>
      <c r="D984" t="s">
        <v>1006</v>
      </c>
      <c r="E984" t="s">
        <v>4</v>
      </c>
      <c r="F984">
        <v>17</v>
      </c>
      <c r="H984" t="s">
        <v>5</v>
      </c>
      <c r="I984" s="1">
        <v>56.63</v>
      </c>
      <c r="J984" s="1">
        <v>55.7</v>
      </c>
      <c r="K984" t="s">
        <v>6</v>
      </c>
    </row>
    <row r="985" spans="1:11">
      <c r="A985" t="s">
        <v>957</v>
      </c>
      <c r="B985">
        <v>531532</v>
      </c>
      <c r="C985" s="2" t="str">
        <f>"20875"</f>
        <v>20875</v>
      </c>
      <c r="D985" t="s">
        <v>1007</v>
      </c>
      <c r="E985" t="s">
        <v>4</v>
      </c>
      <c r="F985">
        <v>14</v>
      </c>
      <c r="H985" t="s">
        <v>5</v>
      </c>
      <c r="I985" s="1">
        <v>48.67</v>
      </c>
      <c r="J985" s="1">
        <v>47.88</v>
      </c>
      <c r="K985" t="s">
        <v>6</v>
      </c>
    </row>
    <row r="986" spans="1:11">
      <c r="A986" t="s">
        <v>957</v>
      </c>
      <c r="B986">
        <v>531670</v>
      </c>
      <c r="C986" s="2" t="str">
        <f>"218416"</f>
        <v>218416</v>
      </c>
      <c r="D986" t="s">
        <v>1008</v>
      </c>
      <c r="E986" t="s">
        <v>4</v>
      </c>
      <c r="F986">
        <v>33</v>
      </c>
      <c r="H986" t="s">
        <v>5</v>
      </c>
      <c r="I986" s="1">
        <v>80.7</v>
      </c>
      <c r="J986" s="1">
        <v>79.44</v>
      </c>
      <c r="K986" t="s">
        <v>6</v>
      </c>
    </row>
    <row r="987" spans="1:11">
      <c r="A987" t="s">
        <v>957</v>
      </c>
      <c r="B987">
        <v>531533</v>
      </c>
      <c r="C987" s="2" t="str">
        <f>"22506"</f>
        <v>22506</v>
      </c>
      <c r="D987" t="s">
        <v>1009</v>
      </c>
      <c r="E987" t="s">
        <v>4</v>
      </c>
      <c r="F987">
        <v>12</v>
      </c>
      <c r="H987" t="s">
        <v>5</v>
      </c>
      <c r="I987" s="1">
        <v>100.89</v>
      </c>
      <c r="J987" s="1">
        <v>99.24</v>
      </c>
      <c r="K987" t="s">
        <v>6</v>
      </c>
    </row>
    <row r="988" spans="1:11">
      <c r="A988" t="s">
        <v>957</v>
      </c>
      <c r="B988">
        <v>531540</v>
      </c>
      <c r="C988" s="2" t="str">
        <f>"22514"</f>
        <v>22514</v>
      </c>
      <c r="D988" t="s">
        <v>1010</v>
      </c>
      <c r="E988" t="s">
        <v>4</v>
      </c>
      <c r="F988">
        <v>30</v>
      </c>
      <c r="H988" t="s">
        <v>5</v>
      </c>
      <c r="I988" s="1">
        <v>166.32</v>
      </c>
      <c r="J988" s="1">
        <v>163.59</v>
      </c>
      <c r="K988" t="s">
        <v>6</v>
      </c>
    </row>
    <row r="989" spans="1:11">
      <c r="A989" t="s">
        <v>957</v>
      </c>
      <c r="B989">
        <v>531544</v>
      </c>
      <c r="C989" s="2" t="str">
        <f>"22530"</f>
        <v>22530</v>
      </c>
      <c r="D989" t="s">
        <v>1011</v>
      </c>
      <c r="E989" t="s">
        <v>4</v>
      </c>
      <c r="F989">
        <v>19</v>
      </c>
      <c r="H989" t="s">
        <v>5</v>
      </c>
      <c r="I989" s="1">
        <v>127.53</v>
      </c>
      <c r="J989" s="1">
        <v>125.44</v>
      </c>
      <c r="K989" t="s">
        <v>6</v>
      </c>
    </row>
    <row r="990" spans="1:11">
      <c r="A990" t="s">
        <v>957</v>
      </c>
      <c r="B990">
        <v>531550</v>
      </c>
      <c r="C990" s="2" t="str">
        <f>"22760"</f>
        <v>22760</v>
      </c>
      <c r="D990" t="s">
        <v>1012</v>
      </c>
      <c r="E990" t="s">
        <v>4</v>
      </c>
      <c r="F990">
        <v>15</v>
      </c>
      <c r="H990" t="s">
        <v>5</v>
      </c>
      <c r="I990" s="1">
        <v>135.03</v>
      </c>
      <c r="J990" s="1">
        <v>132.82</v>
      </c>
      <c r="K990" t="s">
        <v>6</v>
      </c>
    </row>
    <row r="991" spans="1:11">
      <c r="A991" t="s">
        <v>957</v>
      </c>
      <c r="B991">
        <v>531556</v>
      </c>
      <c r="C991" s="2" t="str">
        <f>"25251"</f>
        <v>25251</v>
      </c>
      <c r="D991" t="s">
        <v>1013</v>
      </c>
      <c r="E991" t="s">
        <v>4</v>
      </c>
      <c r="F991">
        <v>35</v>
      </c>
      <c r="H991" t="s">
        <v>5</v>
      </c>
      <c r="I991" s="1">
        <v>225.49</v>
      </c>
      <c r="J991" s="1">
        <v>221.8</v>
      </c>
      <c r="K991" t="s">
        <v>6</v>
      </c>
    </row>
    <row r="992" spans="1:11">
      <c r="A992" t="s">
        <v>957</v>
      </c>
      <c r="B992">
        <v>531559</v>
      </c>
      <c r="C992" s="2" t="str">
        <f>"25263"</f>
        <v>25263</v>
      </c>
      <c r="D992" t="s">
        <v>1014</v>
      </c>
      <c r="E992" t="s">
        <v>4</v>
      </c>
      <c r="F992">
        <v>17</v>
      </c>
      <c r="H992" t="s">
        <v>5</v>
      </c>
      <c r="I992" s="1">
        <v>77.84</v>
      </c>
      <c r="J992" s="1">
        <v>76.56</v>
      </c>
      <c r="K992" t="s">
        <v>6</v>
      </c>
    </row>
    <row r="993" spans="1:11">
      <c r="A993" t="s">
        <v>957</v>
      </c>
      <c r="B993">
        <v>531561</v>
      </c>
      <c r="C993" s="2" t="str">
        <f>"25269"</f>
        <v>25269</v>
      </c>
      <c r="D993" t="s">
        <v>1015</v>
      </c>
      <c r="E993" t="s">
        <v>4</v>
      </c>
      <c r="F993">
        <v>24</v>
      </c>
      <c r="H993" t="s">
        <v>5</v>
      </c>
      <c r="I993" s="1">
        <v>159.32</v>
      </c>
      <c r="J993" s="1">
        <v>156.71</v>
      </c>
      <c r="K993" t="s">
        <v>6</v>
      </c>
    </row>
    <row r="994" spans="1:11">
      <c r="A994" t="s">
        <v>957</v>
      </c>
      <c r="B994">
        <v>531563</v>
      </c>
      <c r="C994" s="2" t="str">
        <f>"25275"</f>
        <v>25275</v>
      </c>
      <c r="D994" t="s">
        <v>1016</v>
      </c>
      <c r="E994" t="s">
        <v>4</v>
      </c>
      <c r="F994">
        <v>28</v>
      </c>
      <c r="H994" t="s">
        <v>5</v>
      </c>
      <c r="I994" s="1">
        <v>112.18</v>
      </c>
      <c r="J994" s="1">
        <v>110.34</v>
      </c>
      <c r="K994" t="s">
        <v>6</v>
      </c>
    </row>
    <row r="995" spans="1:11">
      <c r="A995" t="s">
        <v>957</v>
      </c>
      <c r="B995">
        <v>531564</v>
      </c>
      <c r="C995" s="2" t="str">
        <f>"25285"</f>
        <v>25285</v>
      </c>
      <c r="D995" t="s">
        <v>1017</v>
      </c>
      <c r="E995" t="s">
        <v>4</v>
      </c>
      <c r="F995">
        <v>12</v>
      </c>
      <c r="H995" t="s">
        <v>5</v>
      </c>
      <c r="I995" s="1">
        <v>112.34</v>
      </c>
      <c r="J995" s="1">
        <v>110.49</v>
      </c>
      <c r="K995" t="s">
        <v>6</v>
      </c>
    </row>
    <row r="996" spans="1:11">
      <c r="A996" t="s">
        <v>957</v>
      </c>
      <c r="B996">
        <v>531565</v>
      </c>
      <c r="C996" s="2" t="str">
        <f>"25293"</f>
        <v>25293</v>
      </c>
      <c r="D996" t="s">
        <v>1018</v>
      </c>
      <c r="E996" t="s">
        <v>4</v>
      </c>
      <c r="F996">
        <v>22</v>
      </c>
      <c r="H996" t="s">
        <v>5</v>
      </c>
      <c r="I996" s="1">
        <v>171.13</v>
      </c>
      <c r="J996" s="1">
        <v>168.32</v>
      </c>
      <c r="K996" t="s">
        <v>6</v>
      </c>
    </row>
    <row r="997" spans="1:11">
      <c r="A997" t="s">
        <v>957</v>
      </c>
      <c r="B997">
        <v>531567</v>
      </c>
      <c r="C997" s="2" t="str">
        <f>"28891"</f>
        <v>28891</v>
      </c>
      <c r="D997" t="s">
        <v>1019</v>
      </c>
      <c r="E997" t="s">
        <v>4</v>
      </c>
      <c r="F997">
        <v>17</v>
      </c>
      <c r="H997" t="s">
        <v>5</v>
      </c>
      <c r="I997" s="1">
        <v>125.67</v>
      </c>
      <c r="J997" s="1">
        <v>123.61</v>
      </c>
      <c r="K997" t="s">
        <v>6</v>
      </c>
    </row>
    <row r="998" spans="1:11">
      <c r="A998" t="s">
        <v>957</v>
      </c>
      <c r="B998">
        <v>531569</v>
      </c>
      <c r="C998" s="2" t="str">
        <f>"29811"</f>
        <v>29811</v>
      </c>
      <c r="D998" t="s">
        <v>1020</v>
      </c>
      <c r="E998" t="s">
        <v>4</v>
      </c>
      <c r="F998">
        <v>21</v>
      </c>
      <c r="H998" t="s">
        <v>5</v>
      </c>
      <c r="I998" s="1">
        <v>45.32</v>
      </c>
      <c r="J998" s="1">
        <v>44.58</v>
      </c>
      <c r="K998" t="s">
        <v>6</v>
      </c>
    </row>
    <row r="999" spans="1:11">
      <c r="A999" t="s">
        <v>957</v>
      </c>
      <c r="B999">
        <v>531660</v>
      </c>
      <c r="C999" s="2" t="str">
        <f>"332103"</f>
        <v>332103</v>
      </c>
      <c r="D999" t="s">
        <v>1021</v>
      </c>
      <c r="E999" t="s">
        <v>4</v>
      </c>
      <c r="F999">
        <v>21</v>
      </c>
      <c r="H999" t="s">
        <v>5</v>
      </c>
      <c r="I999" s="1">
        <v>109.98</v>
      </c>
      <c r="J999" s="1">
        <v>108.27</v>
      </c>
      <c r="K999" t="s">
        <v>6</v>
      </c>
    </row>
    <row r="1000" spans="1:11">
      <c r="A1000" t="s">
        <v>957</v>
      </c>
      <c r="B1000">
        <v>531671</v>
      </c>
      <c r="C1000" s="2" t="str">
        <f>"364624"</f>
        <v>364624</v>
      </c>
      <c r="D1000" t="s">
        <v>1022</v>
      </c>
      <c r="E1000" t="s">
        <v>4</v>
      </c>
      <c r="F1000">
        <v>16</v>
      </c>
      <c r="H1000" t="s">
        <v>5</v>
      </c>
      <c r="I1000" s="1">
        <v>50.93</v>
      </c>
      <c r="J1000" s="1">
        <v>50.13</v>
      </c>
      <c r="K1000" t="s">
        <v>6</v>
      </c>
    </row>
    <row r="1001" spans="1:11">
      <c r="A1001" t="s">
        <v>957</v>
      </c>
      <c r="B1001">
        <v>531661</v>
      </c>
      <c r="C1001" s="2" t="str">
        <f>"366087"</f>
        <v>366087</v>
      </c>
      <c r="D1001" t="s">
        <v>1023</v>
      </c>
      <c r="E1001" t="s">
        <v>4</v>
      </c>
      <c r="F1001">
        <v>6</v>
      </c>
      <c r="H1001" t="s">
        <v>5</v>
      </c>
      <c r="I1001" s="1">
        <v>33.630000000000003</v>
      </c>
      <c r="J1001" s="1">
        <v>33.11</v>
      </c>
      <c r="K1001" t="s">
        <v>6</v>
      </c>
    </row>
    <row r="1002" spans="1:11">
      <c r="A1002" t="s">
        <v>957</v>
      </c>
      <c r="B1002">
        <v>531574</v>
      </c>
      <c r="C1002" s="2" t="str">
        <f>"40326"</f>
        <v>40326</v>
      </c>
      <c r="D1002" t="s">
        <v>1024</v>
      </c>
      <c r="E1002" t="s">
        <v>4</v>
      </c>
      <c r="F1002">
        <v>35</v>
      </c>
      <c r="H1002" t="s">
        <v>5</v>
      </c>
      <c r="I1002" s="1">
        <v>155.68</v>
      </c>
      <c r="J1002" s="1">
        <v>153.13</v>
      </c>
      <c r="K1002" t="s">
        <v>6</v>
      </c>
    </row>
    <row r="1003" spans="1:11">
      <c r="A1003" t="s">
        <v>957</v>
      </c>
      <c r="B1003">
        <v>531575</v>
      </c>
      <c r="C1003" s="2" t="str">
        <f>"40334"</f>
        <v>40334</v>
      </c>
      <c r="D1003" t="s">
        <v>1025</v>
      </c>
      <c r="E1003" t="s">
        <v>4</v>
      </c>
      <c r="F1003">
        <v>33</v>
      </c>
      <c r="H1003" t="s">
        <v>5</v>
      </c>
      <c r="I1003" s="1">
        <v>143.83000000000001</v>
      </c>
      <c r="J1003" s="1">
        <v>141.47999999999999</v>
      </c>
      <c r="K1003" t="s">
        <v>6</v>
      </c>
    </row>
    <row r="1004" spans="1:11">
      <c r="A1004" t="s">
        <v>957</v>
      </c>
      <c r="B1004">
        <v>531668</v>
      </c>
      <c r="C1004" s="2" t="str">
        <f>"432100"</f>
        <v>432100</v>
      </c>
      <c r="D1004" t="s">
        <v>1026</v>
      </c>
      <c r="E1004" t="s">
        <v>4</v>
      </c>
      <c r="F1004">
        <v>9</v>
      </c>
      <c r="H1004" t="s">
        <v>5</v>
      </c>
      <c r="I1004" s="1">
        <v>69.930000000000007</v>
      </c>
      <c r="J1004" s="1">
        <v>68.849999999999994</v>
      </c>
      <c r="K1004" t="s">
        <v>6</v>
      </c>
    </row>
    <row r="1005" spans="1:11">
      <c r="A1005" t="s">
        <v>957</v>
      </c>
      <c r="B1005">
        <v>531704</v>
      </c>
      <c r="C1005" s="2" t="str">
        <f>"43279"</f>
        <v>43279</v>
      </c>
      <c r="D1005" t="s">
        <v>1027</v>
      </c>
      <c r="E1005" t="s">
        <v>4</v>
      </c>
      <c r="F1005">
        <v>31</v>
      </c>
      <c r="H1005" t="s">
        <v>5</v>
      </c>
      <c r="I1005" s="1">
        <v>93.41</v>
      </c>
      <c r="J1005" s="1">
        <v>91.87</v>
      </c>
      <c r="K1005" t="s">
        <v>6</v>
      </c>
    </row>
    <row r="1006" spans="1:11">
      <c r="A1006" t="s">
        <v>957</v>
      </c>
      <c r="B1006">
        <v>531579</v>
      </c>
      <c r="C1006" s="2" t="str">
        <f>"43280"</f>
        <v>43280</v>
      </c>
      <c r="D1006" t="s">
        <v>1028</v>
      </c>
      <c r="E1006" t="s">
        <v>4</v>
      </c>
      <c r="F1006">
        <v>36</v>
      </c>
      <c r="H1006" t="s">
        <v>5</v>
      </c>
      <c r="I1006" s="1">
        <v>101.18</v>
      </c>
      <c r="J1006" s="1">
        <v>99.53</v>
      </c>
      <c r="K1006" t="s">
        <v>6</v>
      </c>
    </row>
    <row r="1007" spans="1:11">
      <c r="A1007" t="s">
        <v>957</v>
      </c>
      <c r="B1007">
        <v>531581</v>
      </c>
      <c r="C1007" s="2" t="str">
        <f>"43281"</f>
        <v>43281</v>
      </c>
      <c r="D1007" t="s">
        <v>1029</v>
      </c>
      <c r="E1007" t="s">
        <v>4</v>
      </c>
      <c r="F1007">
        <v>45</v>
      </c>
      <c r="H1007" t="s">
        <v>5</v>
      </c>
      <c r="I1007" s="1">
        <v>140.38</v>
      </c>
      <c r="J1007" s="1">
        <v>138.08000000000001</v>
      </c>
      <c r="K1007" t="s">
        <v>6</v>
      </c>
    </row>
    <row r="1008" spans="1:11">
      <c r="A1008" t="s">
        <v>957</v>
      </c>
      <c r="B1008">
        <v>531583</v>
      </c>
      <c r="C1008" s="2" t="str">
        <f>"43282"</f>
        <v>43282</v>
      </c>
      <c r="D1008" t="s">
        <v>1030</v>
      </c>
      <c r="E1008" t="s">
        <v>4</v>
      </c>
      <c r="F1008">
        <v>37</v>
      </c>
      <c r="H1008" t="s">
        <v>5</v>
      </c>
      <c r="I1008" s="1">
        <v>95.46</v>
      </c>
      <c r="J1008" s="1">
        <v>93.89</v>
      </c>
      <c r="K1008" t="s">
        <v>6</v>
      </c>
    </row>
    <row r="1009" spans="1:11">
      <c r="A1009" t="s">
        <v>957</v>
      </c>
      <c r="B1009">
        <v>531587</v>
      </c>
      <c r="C1009" s="2" t="str">
        <f>"43319"</f>
        <v>43319</v>
      </c>
      <c r="D1009" t="s">
        <v>1031</v>
      </c>
      <c r="E1009" t="s">
        <v>4</v>
      </c>
      <c r="F1009">
        <v>17</v>
      </c>
      <c r="H1009" t="s">
        <v>5</v>
      </c>
      <c r="I1009" s="1">
        <v>138.99</v>
      </c>
      <c r="J1009" s="1">
        <v>136.71</v>
      </c>
      <c r="K1009" t="s">
        <v>6</v>
      </c>
    </row>
    <row r="1010" spans="1:11">
      <c r="A1010" t="s">
        <v>957</v>
      </c>
      <c r="B1010">
        <v>531589</v>
      </c>
      <c r="C1010" s="2" t="str">
        <f>"43716"</f>
        <v>43716</v>
      </c>
      <c r="D1010" t="s">
        <v>1032</v>
      </c>
      <c r="E1010" t="s">
        <v>4</v>
      </c>
      <c r="F1010">
        <v>16</v>
      </c>
      <c r="H1010" t="s">
        <v>5</v>
      </c>
      <c r="I1010" s="1">
        <v>84.45</v>
      </c>
      <c r="J1010" s="1">
        <v>83.07</v>
      </c>
      <c r="K1010" t="s">
        <v>6</v>
      </c>
    </row>
    <row r="1011" spans="1:11">
      <c r="A1011" t="s">
        <v>957</v>
      </c>
      <c r="B1011">
        <v>531682</v>
      </c>
      <c r="C1011" s="2" t="str">
        <f>"442116"</f>
        <v>442116</v>
      </c>
      <c r="D1011" t="s">
        <v>1033</v>
      </c>
      <c r="E1011" t="s">
        <v>4</v>
      </c>
      <c r="F1011">
        <v>26</v>
      </c>
      <c r="H1011" t="s">
        <v>5</v>
      </c>
      <c r="I1011" s="1">
        <v>45.79</v>
      </c>
      <c r="J1011" s="1">
        <v>45.08</v>
      </c>
      <c r="K1011" t="s">
        <v>6</v>
      </c>
    </row>
    <row r="1012" spans="1:11">
      <c r="A1012" t="s">
        <v>957</v>
      </c>
      <c r="B1012">
        <v>531705</v>
      </c>
      <c r="C1012" s="2" t="str">
        <f>"46697"</f>
        <v>46697</v>
      </c>
      <c r="D1012" t="s">
        <v>1034</v>
      </c>
      <c r="E1012" t="s">
        <v>4</v>
      </c>
      <c r="F1012">
        <v>24</v>
      </c>
      <c r="H1012" t="s">
        <v>5</v>
      </c>
      <c r="I1012" s="1">
        <v>87.14</v>
      </c>
      <c r="J1012" s="1">
        <v>85.71</v>
      </c>
      <c r="K1012" t="s">
        <v>6</v>
      </c>
    </row>
    <row r="1013" spans="1:11">
      <c r="A1013" t="s">
        <v>957</v>
      </c>
      <c r="B1013">
        <v>531604</v>
      </c>
      <c r="C1013" s="2" t="str">
        <f>"46888"</f>
        <v>46888</v>
      </c>
      <c r="D1013" t="s">
        <v>1035</v>
      </c>
      <c r="E1013" t="s">
        <v>4</v>
      </c>
      <c r="F1013">
        <v>17</v>
      </c>
      <c r="H1013" t="s">
        <v>5</v>
      </c>
      <c r="I1013" s="1">
        <v>111.21</v>
      </c>
      <c r="J1013" s="1">
        <v>109.38</v>
      </c>
      <c r="K1013" t="s">
        <v>6</v>
      </c>
    </row>
    <row r="1014" spans="1:11">
      <c r="A1014" t="s">
        <v>957</v>
      </c>
      <c r="B1014">
        <v>531607</v>
      </c>
      <c r="C1014" s="2" t="str">
        <f>"46961"</f>
        <v>46961</v>
      </c>
      <c r="D1014" t="s">
        <v>1036</v>
      </c>
      <c r="E1014" t="s">
        <v>4</v>
      </c>
      <c r="F1014">
        <v>15</v>
      </c>
      <c r="H1014" t="s">
        <v>5</v>
      </c>
      <c r="I1014" s="1">
        <v>111.21</v>
      </c>
      <c r="J1014" s="1">
        <v>109.38</v>
      </c>
      <c r="K1014" t="s">
        <v>6</v>
      </c>
    </row>
    <row r="1015" spans="1:11">
      <c r="A1015" t="s">
        <v>957</v>
      </c>
      <c r="B1015">
        <v>531609</v>
      </c>
      <c r="C1015" s="2" t="str">
        <f>"46973"</f>
        <v>46973</v>
      </c>
      <c r="D1015" t="s">
        <v>1037</v>
      </c>
      <c r="E1015" t="s">
        <v>4</v>
      </c>
      <c r="F1015">
        <v>13</v>
      </c>
      <c r="H1015" t="s">
        <v>5</v>
      </c>
      <c r="I1015" s="1">
        <v>111.21</v>
      </c>
      <c r="J1015" s="1">
        <v>109.38</v>
      </c>
      <c r="K1015" t="s">
        <v>6</v>
      </c>
    </row>
    <row r="1016" spans="1:11">
      <c r="A1016" t="s">
        <v>957</v>
      </c>
      <c r="B1016">
        <v>531611</v>
      </c>
      <c r="C1016" s="2" t="str">
        <f>"46978"</f>
        <v>46978</v>
      </c>
      <c r="D1016" t="s">
        <v>1038</v>
      </c>
      <c r="E1016" t="s">
        <v>4</v>
      </c>
      <c r="F1016">
        <v>10</v>
      </c>
      <c r="H1016" t="s">
        <v>5</v>
      </c>
      <c r="I1016" s="1">
        <v>105.91</v>
      </c>
      <c r="J1016" s="1">
        <v>104.18</v>
      </c>
      <c r="K1016" t="s">
        <v>6</v>
      </c>
    </row>
    <row r="1017" spans="1:11">
      <c r="A1017" t="s">
        <v>957</v>
      </c>
      <c r="B1017">
        <v>531707</v>
      </c>
      <c r="C1017" s="2" t="str">
        <f>"46981"</f>
        <v>46981</v>
      </c>
      <c r="D1017" t="s">
        <v>1039</v>
      </c>
      <c r="E1017" t="s">
        <v>4</v>
      </c>
      <c r="F1017">
        <v>19</v>
      </c>
      <c r="H1017" t="s">
        <v>5</v>
      </c>
      <c r="I1017" s="1">
        <v>125.78</v>
      </c>
      <c r="J1017" s="1">
        <v>123.72</v>
      </c>
      <c r="K1017" t="s">
        <v>6</v>
      </c>
    </row>
    <row r="1018" spans="1:11">
      <c r="A1018" t="s">
        <v>957</v>
      </c>
      <c r="B1018">
        <v>531613</v>
      </c>
      <c r="C1018" s="2" t="str">
        <f>"47017"</f>
        <v>47017</v>
      </c>
      <c r="D1018" t="s">
        <v>1040</v>
      </c>
      <c r="E1018" t="s">
        <v>4</v>
      </c>
      <c r="F1018">
        <v>12</v>
      </c>
      <c r="H1018" t="s">
        <v>5</v>
      </c>
      <c r="I1018" s="1">
        <v>111.21</v>
      </c>
      <c r="J1018" s="1">
        <v>109.38</v>
      </c>
      <c r="K1018" t="s">
        <v>6</v>
      </c>
    </row>
    <row r="1019" spans="1:11">
      <c r="A1019" t="s">
        <v>957</v>
      </c>
      <c r="B1019">
        <v>531615</v>
      </c>
      <c r="C1019" s="2" t="str">
        <f>"47019"</f>
        <v>47019</v>
      </c>
      <c r="D1019" t="s">
        <v>1041</v>
      </c>
      <c r="E1019" t="s">
        <v>4</v>
      </c>
      <c r="F1019">
        <v>11</v>
      </c>
      <c r="H1019" t="s">
        <v>5</v>
      </c>
      <c r="I1019" s="1">
        <v>111.21</v>
      </c>
      <c r="J1019" s="1">
        <v>109.38</v>
      </c>
      <c r="K1019" t="s">
        <v>6</v>
      </c>
    </row>
    <row r="1020" spans="1:11">
      <c r="A1020" t="s">
        <v>957</v>
      </c>
      <c r="B1020">
        <v>531617</v>
      </c>
      <c r="C1020" s="2" t="str">
        <f>"47026"</f>
        <v>47026</v>
      </c>
      <c r="D1020" t="s">
        <v>1042</v>
      </c>
      <c r="E1020" t="s">
        <v>4</v>
      </c>
      <c r="F1020">
        <v>16</v>
      </c>
      <c r="H1020" t="s">
        <v>5</v>
      </c>
      <c r="I1020" s="1">
        <v>111.21</v>
      </c>
      <c r="J1020" s="1">
        <v>109.38</v>
      </c>
      <c r="K1020" t="s">
        <v>6</v>
      </c>
    </row>
    <row r="1021" spans="1:11">
      <c r="A1021" t="s">
        <v>957</v>
      </c>
      <c r="B1021">
        <v>531619</v>
      </c>
      <c r="C1021" s="2" t="str">
        <f>"47346"</f>
        <v>47346</v>
      </c>
      <c r="D1021" t="s">
        <v>1043</v>
      </c>
      <c r="E1021" t="s">
        <v>4</v>
      </c>
      <c r="F1021">
        <v>12</v>
      </c>
      <c r="H1021" t="s">
        <v>5</v>
      </c>
      <c r="I1021" s="1">
        <v>79.930000000000007</v>
      </c>
      <c r="J1021" s="1">
        <v>78.62</v>
      </c>
      <c r="K1021" t="s">
        <v>6</v>
      </c>
    </row>
    <row r="1022" spans="1:11">
      <c r="A1022" t="s">
        <v>957</v>
      </c>
      <c r="B1022">
        <v>531621</v>
      </c>
      <c r="C1022" s="2" t="str">
        <f>"47900"</f>
        <v>47900</v>
      </c>
      <c r="D1022" t="s">
        <v>1044</v>
      </c>
      <c r="E1022" t="s">
        <v>4</v>
      </c>
      <c r="F1022">
        <v>33</v>
      </c>
      <c r="H1022" t="s">
        <v>5</v>
      </c>
      <c r="I1022" s="1">
        <v>192.31</v>
      </c>
      <c r="J1022" s="1">
        <v>189.15</v>
      </c>
      <c r="K1022" t="s">
        <v>6</v>
      </c>
    </row>
    <row r="1023" spans="1:11">
      <c r="A1023" t="s">
        <v>957</v>
      </c>
      <c r="B1023">
        <v>531624</v>
      </c>
      <c r="C1023" s="2" t="str">
        <f>"47902"</f>
        <v>47902</v>
      </c>
      <c r="D1023" t="s">
        <v>1045</v>
      </c>
      <c r="E1023" t="s">
        <v>4</v>
      </c>
      <c r="F1023">
        <v>26</v>
      </c>
      <c r="H1023" t="s">
        <v>5</v>
      </c>
      <c r="I1023" s="1">
        <v>164.86</v>
      </c>
      <c r="J1023" s="1">
        <v>162.16</v>
      </c>
      <c r="K1023" t="s">
        <v>6</v>
      </c>
    </row>
    <row r="1024" spans="1:11">
      <c r="A1024" t="s">
        <v>957</v>
      </c>
      <c r="B1024">
        <v>531626</v>
      </c>
      <c r="C1024" s="2" t="str">
        <f>"47913"</f>
        <v>47913</v>
      </c>
      <c r="D1024" t="s">
        <v>1046</v>
      </c>
      <c r="E1024" t="s">
        <v>4</v>
      </c>
      <c r="F1024">
        <v>23</v>
      </c>
      <c r="H1024" t="s">
        <v>5</v>
      </c>
      <c r="I1024" s="1">
        <v>164.84</v>
      </c>
      <c r="J1024" s="1">
        <v>162.13999999999999</v>
      </c>
      <c r="K1024" t="s">
        <v>6</v>
      </c>
    </row>
    <row r="1025" spans="1:11">
      <c r="A1025" t="s">
        <v>957</v>
      </c>
      <c r="B1025">
        <v>531627</v>
      </c>
      <c r="C1025" s="2" t="str">
        <f>"47925"</f>
        <v>47925</v>
      </c>
      <c r="D1025" t="s">
        <v>1047</v>
      </c>
      <c r="E1025" t="s">
        <v>4</v>
      </c>
      <c r="F1025">
        <v>12</v>
      </c>
      <c r="H1025" t="s">
        <v>5</v>
      </c>
      <c r="I1025" s="1">
        <v>104.81</v>
      </c>
      <c r="J1025" s="1">
        <v>103.09</v>
      </c>
      <c r="K1025" t="s">
        <v>6</v>
      </c>
    </row>
    <row r="1026" spans="1:11">
      <c r="A1026" t="s">
        <v>957</v>
      </c>
      <c r="B1026">
        <v>531628</v>
      </c>
      <c r="C1026" s="2" t="str">
        <f>"47929"</f>
        <v>47929</v>
      </c>
      <c r="D1026" t="s">
        <v>1048</v>
      </c>
      <c r="E1026" t="s">
        <v>4</v>
      </c>
      <c r="F1026">
        <v>17</v>
      </c>
      <c r="H1026" t="s">
        <v>5</v>
      </c>
      <c r="I1026" s="1">
        <v>126.25</v>
      </c>
      <c r="J1026" s="1">
        <v>124.18</v>
      </c>
      <c r="K1026" t="s">
        <v>6</v>
      </c>
    </row>
    <row r="1027" spans="1:11">
      <c r="A1027" t="s">
        <v>957</v>
      </c>
      <c r="B1027">
        <v>531630</v>
      </c>
      <c r="C1027" s="2" t="str">
        <f>"47982"</f>
        <v>47982</v>
      </c>
      <c r="D1027" t="s">
        <v>1049</v>
      </c>
      <c r="E1027" t="s">
        <v>4</v>
      </c>
      <c r="F1027">
        <v>23</v>
      </c>
      <c r="H1027" t="s">
        <v>5</v>
      </c>
      <c r="I1027" s="1">
        <v>148.82</v>
      </c>
      <c r="J1027" s="1">
        <v>146.38</v>
      </c>
      <c r="K1027" t="s">
        <v>6</v>
      </c>
    </row>
    <row r="1028" spans="1:11">
      <c r="A1028" t="s">
        <v>957</v>
      </c>
      <c r="B1028">
        <v>531633</v>
      </c>
      <c r="C1028" s="2" t="str">
        <f>"48024"</f>
        <v>48024</v>
      </c>
      <c r="D1028" t="s">
        <v>1050</v>
      </c>
      <c r="E1028" t="s">
        <v>4</v>
      </c>
      <c r="F1028">
        <v>9</v>
      </c>
      <c r="H1028" t="s">
        <v>5</v>
      </c>
      <c r="I1028" s="1">
        <v>105.91</v>
      </c>
      <c r="J1028" s="1">
        <v>104.18</v>
      </c>
      <c r="K1028" t="s">
        <v>6</v>
      </c>
    </row>
    <row r="1029" spans="1:11">
      <c r="A1029" t="s">
        <v>957</v>
      </c>
      <c r="B1029">
        <v>531635</v>
      </c>
      <c r="C1029" s="2" t="str">
        <f>"48025"</f>
        <v>48025</v>
      </c>
      <c r="D1029" t="s">
        <v>1051</v>
      </c>
      <c r="E1029" t="s">
        <v>4</v>
      </c>
      <c r="F1029">
        <v>20</v>
      </c>
      <c r="H1029" t="s">
        <v>5</v>
      </c>
      <c r="I1029" s="1">
        <v>173.89</v>
      </c>
      <c r="J1029" s="1">
        <v>171.04</v>
      </c>
      <c r="K1029" t="s">
        <v>6</v>
      </c>
    </row>
    <row r="1030" spans="1:11">
      <c r="A1030" t="s">
        <v>957</v>
      </c>
      <c r="B1030">
        <v>531672</v>
      </c>
      <c r="C1030" s="2" t="str">
        <f>"481322"</f>
        <v>481322</v>
      </c>
      <c r="D1030" t="s">
        <v>1052</v>
      </c>
      <c r="E1030" t="s">
        <v>4</v>
      </c>
      <c r="F1030">
        <v>17</v>
      </c>
      <c r="H1030" t="s">
        <v>5</v>
      </c>
      <c r="I1030" s="1">
        <v>58.58</v>
      </c>
      <c r="J1030" s="1">
        <v>57.67</v>
      </c>
      <c r="K1030" t="s">
        <v>6</v>
      </c>
    </row>
    <row r="1031" spans="1:11">
      <c r="A1031" t="s">
        <v>957</v>
      </c>
      <c r="B1031">
        <v>531642</v>
      </c>
      <c r="C1031" s="2" t="str">
        <f>"48722"</f>
        <v>48722</v>
      </c>
      <c r="D1031" t="s">
        <v>1053</v>
      </c>
      <c r="E1031" t="s">
        <v>4</v>
      </c>
      <c r="F1031">
        <v>32</v>
      </c>
      <c r="H1031" t="s">
        <v>5</v>
      </c>
      <c r="I1031" s="1">
        <v>143.83000000000001</v>
      </c>
      <c r="J1031" s="1">
        <v>141.47999999999999</v>
      </c>
      <c r="K1031" t="s">
        <v>6</v>
      </c>
    </row>
    <row r="1032" spans="1:11">
      <c r="A1032" t="s">
        <v>957</v>
      </c>
      <c r="B1032">
        <v>531643</v>
      </c>
      <c r="C1032" s="2" t="str">
        <f>"48728"</f>
        <v>48728</v>
      </c>
      <c r="D1032" t="s">
        <v>1054</v>
      </c>
      <c r="E1032" t="s">
        <v>4</v>
      </c>
      <c r="F1032">
        <v>33</v>
      </c>
      <c r="H1032" t="s">
        <v>5</v>
      </c>
      <c r="I1032" s="1">
        <v>159.12</v>
      </c>
      <c r="J1032" s="1">
        <v>156.51</v>
      </c>
      <c r="K1032" t="s">
        <v>6</v>
      </c>
    </row>
    <row r="1033" spans="1:11">
      <c r="A1033" t="s">
        <v>957</v>
      </c>
      <c r="B1033">
        <v>531673</v>
      </c>
      <c r="C1033" s="2" t="str">
        <f>"490249"</f>
        <v>490249</v>
      </c>
      <c r="D1033" t="s">
        <v>1055</v>
      </c>
      <c r="E1033" t="s">
        <v>4</v>
      </c>
      <c r="F1033">
        <v>22</v>
      </c>
      <c r="H1033" t="s">
        <v>5</v>
      </c>
      <c r="I1033" s="1">
        <v>62.92</v>
      </c>
      <c r="J1033" s="1">
        <v>61.94</v>
      </c>
      <c r="K1033" t="s">
        <v>6</v>
      </c>
    </row>
    <row r="1034" spans="1:11">
      <c r="A1034" t="s">
        <v>957</v>
      </c>
      <c r="B1034">
        <v>531645</v>
      </c>
      <c r="C1034" s="2" t="str">
        <f>"49357"</f>
        <v>49357</v>
      </c>
      <c r="D1034" t="s">
        <v>1056</v>
      </c>
      <c r="E1034" t="s">
        <v>4</v>
      </c>
      <c r="F1034">
        <v>35</v>
      </c>
      <c r="H1034" t="s">
        <v>5</v>
      </c>
      <c r="I1034" s="1">
        <v>129.04</v>
      </c>
      <c r="J1034" s="1">
        <v>126.92</v>
      </c>
      <c r="K1034" t="s">
        <v>6</v>
      </c>
    </row>
    <row r="1035" spans="1:11">
      <c r="A1035" t="s">
        <v>957</v>
      </c>
      <c r="B1035">
        <v>531646</v>
      </c>
      <c r="C1035" s="2" t="str">
        <f>"49698"</f>
        <v>49698</v>
      </c>
      <c r="D1035" t="s">
        <v>1057</v>
      </c>
      <c r="E1035" t="s">
        <v>4</v>
      </c>
      <c r="F1035">
        <v>9</v>
      </c>
      <c r="H1035" t="s">
        <v>5</v>
      </c>
      <c r="I1035" s="1">
        <v>61.29</v>
      </c>
      <c r="J1035" s="1">
        <v>60.28</v>
      </c>
      <c r="K1035" t="s">
        <v>6</v>
      </c>
    </row>
    <row r="1036" spans="1:11">
      <c r="A1036" t="s">
        <v>957</v>
      </c>
      <c r="B1036">
        <v>531647</v>
      </c>
      <c r="C1036" s="2" t="str">
        <f>"50061"</f>
        <v>50061</v>
      </c>
      <c r="D1036" t="s">
        <v>1058</v>
      </c>
      <c r="E1036" t="s">
        <v>4</v>
      </c>
      <c r="F1036">
        <v>20</v>
      </c>
      <c r="H1036" t="s">
        <v>5</v>
      </c>
      <c r="I1036" s="1">
        <v>108.11</v>
      </c>
      <c r="J1036" s="1">
        <v>106.34</v>
      </c>
      <c r="K1036" t="s">
        <v>6</v>
      </c>
    </row>
    <row r="1037" spans="1:11">
      <c r="A1037" t="s">
        <v>957</v>
      </c>
      <c r="B1037">
        <v>531649</v>
      </c>
      <c r="C1037" s="2" t="str">
        <f>"50816"</f>
        <v>50816</v>
      </c>
      <c r="D1037" t="s">
        <v>1059</v>
      </c>
      <c r="E1037" t="s">
        <v>4</v>
      </c>
      <c r="F1037">
        <v>12</v>
      </c>
      <c r="H1037" t="s">
        <v>5</v>
      </c>
      <c r="I1037" s="1">
        <v>105.91</v>
      </c>
      <c r="J1037" s="1">
        <v>104.18</v>
      </c>
      <c r="K1037" t="s">
        <v>6</v>
      </c>
    </row>
    <row r="1038" spans="1:11">
      <c r="A1038" t="s">
        <v>957</v>
      </c>
      <c r="B1038">
        <v>531650</v>
      </c>
      <c r="C1038" s="2" t="str">
        <f>"51752"</f>
        <v>51752</v>
      </c>
      <c r="D1038" t="s">
        <v>1060</v>
      </c>
      <c r="E1038" t="s">
        <v>4</v>
      </c>
      <c r="F1038">
        <v>14</v>
      </c>
      <c r="H1038" t="s">
        <v>5</v>
      </c>
      <c r="I1038" s="1">
        <v>91.35</v>
      </c>
      <c r="J1038" s="1">
        <v>89.86</v>
      </c>
      <c r="K1038" t="s">
        <v>6</v>
      </c>
    </row>
    <row r="1039" spans="1:11">
      <c r="A1039" t="s">
        <v>957</v>
      </c>
      <c r="B1039">
        <v>531679</v>
      </c>
      <c r="C1039" s="2" t="str">
        <f>"521284"</f>
        <v>521284</v>
      </c>
      <c r="D1039" t="s">
        <v>1061</v>
      </c>
      <c r="E1039" t="s">
        <v>4</v>
      </c>
      <c r="F1039">
        <v>25</v>
      </c>
      <c r="H1039" t="s">
        <v>5</v>
      </c>
      <c r="I1039" s="1">
        <v>97.37</v>
      </c>
      <c r="J1039" s="1">
        <v>95.86</v>
      </c>
      <c r="K1039" t="s">
        <v>6</v>
      </c>
    </row>
    <row r="1040" spans="1:11">
      <c r="A1040" t="s">
        <v>957</v>
      </c>
      <c r="B1040">
        <v>543481</v>
      </c>
      <c r="C1040" s="2" t="str">
        <f>"52643"</f>
        <v>52643</v>
      </c>
      <c r="D1040" t="s">
        <v>1062</v>
      </c>
      <c r="E1040" t="s">
        <v>4</v>
      </c>
      <c r="F1040">
        <v>15</v>
      </c>
      <c r="H1040" t="s">
        <v>5</v>
      </c>
      <c r="I1040" s="1">
        <v>61.81</v>
      </c>
      <c r="J1040" s="1">
        <v>60.79</v>
      </c>
      <c r="K1040" t="s">
        <v>6</v>
      </c>
    </row>
    <row r="1041" spans="1:11">
      <c r="A1041" t="s">
        <v>957</v>
      </c>
      <c r="B1041">
        <v>531651</v>
      </c>
      <c r="C1041" s="2" t="str">
        <f>"53224"</f>
        <v>53224</v>
      </c>
      <c r="D1041" t="s">
        <v>1063</v>
      </c>
      <c r="E1041" t="s">
        <v>4</v>
      </c>
      <c r="F1041">
        <v>27</v>
      </c>
      <c r="H1041" t="s">
        <v>5</v>
      </c>
      <c r="I1041" s="1">
        <v>56.97</v>
      </c>
      <c r="J1041" s="1">
        <v>56.04</v>
      </c>
      <c r="K1041" t="s">
        <v>6</v>
      </c>
    </row>
    <row r="1042" spans="1:11">
      <c r="A1042" t="s">
        <v>957</v>
      </c>
      <c r="B1042">
        <v>544555</v>
      </c>
      <c r="C1042" s="2" t="str">
        <f>"53404"</f>
        <v>53404</v>
      </c>
      <c r="D1042" t="s">
        <v>1064</v>
      </c>
      <c r="E1042" t="s">
        <v>4</v>
      </c>
      <c r="F1042">
        <v>32</v>
      </c>
      <c r="H1042" t="s">
        <v>5</v>
      </c>
      <c r="I1042" s="1">
        <v>79.819999999999993</v>
      </c>
      <c r="J1042" s="1">
        <v>78.510000000000005</v>
      </c>
      <c r="K1042" t="s">
        <v>6</v>
      </c>
    </row>
    <row r="1043" spans="1:11">
      <c r="A1043" t="s">
        <v>957</v>
      </c>
      <c r="B1043">
        <v>531652</v>
      </c>
      <c r="C1043" s="2" t="str">
        <f>"53664"</f>
        <v>53664</v>
      </c>
      <c r="D1043" t="s">
        <v>1065</v>
      </c>
      <c r="E1043" t="s">
        <v>4</v>
      </c>
      <c r="F1043">
        <v>17</v>
      </c>
      <c r="H1043" t="s">
        <v>5</v>
      </c>
      <c r="I1043" s="1">
        <v>87.81</v>
      </c>
      <c r="J1043" s="1">
        <v>86.37</v>
      </c>
      <c r="K1043" t="s">
        <v>6</v>
      </c>
    </row>
    <row r="1044" spans="1:11">
      <c r="A1044" t="s">
        <v>957</v>
      </c>
      <c r="B1044">
        <v>531654</v>
      </c>
      <c r="C1044" s="2" t="str">
        <f>"57069"</f>
        <v>57069</v>
      </c>
      <c r="D1044" t="s">
        <v>1066</v>
      </c>
      <c r="E1044" t="s">
        <v>4</v>
      </c>
      <c r="F1044">
        <v>39</v>
      </c>
      <c r="H1044" t="s">
        <v>5</v>
      </c>
      <c r="I1044" s="1">
        <v>139.1</v>
      </c>
      <c r="J1044" s="1">
        <v>136.82</v>
      </c>
      <c r="K1044" t="s">
        <v>6</v>
      </c>
    </row>
    <row r="1045" spans="1:11">
      <c r="A1045" t="s">
        <v>957</v>
      </c>
      <c r="B1045">
        <v>531655</v>
      </c>
      <c r="C1045" s="2" t="str">
        <f>"57070"</f>
        <v>57070</v>
      </c>
      <c r="D1045" t="s">
        <v>1067</v>
      </c>
      <c r="E1045" t="s">
        <v>4</v>
      </c>
      <c r="F1045">
        <v>33</v>
      </c>
      <c r="H1045" t="s">
        <v>5</v>
      </c>
      <c r="I1045" s="1">
        <v>248.89</v>
      </c>
      <c r="J1045" s="1">
        <v>244.81</v>
      </c>
      <c r="K1045" t="s">
        <v>6</v>
      </c>
    </row>
    <row r="1046" spans="1:11">
      <c r="A1046" t="s">
        <v>957</v>
      </c>
      <c r="B1046">
        <v>531469</v>
      </c>
      <c r="C1046" s="2" t="str">
        <f>"57282"</f>
        <v>57282</v>
      </c>
      <c r="D1046" t="s">
        <v>1068</v>
      </c>
      <c r="E1046" t="s">
        <v>4</v>
      </c>
      <c r="F1046">
        <v>31</v>
      </c>
      <c r="H1046" t="s">
        <v>5</v>
      </c>
      <c r="I1046" s="1">
        <v>129.41999999999999</v>
      </c>
      <c r="J1046" s="1">
        <v>127.3</v>
      </c>
      <c r="K1046" t="s">
        <v>6</v>
      </c>
    </row>
    <row r="1047" spans="1:11">
      <c r="A1047" t="s">
        <v>957</v>
      </c>
      <c r="B1047">
        <v>531471</v>
      </c>
      <c r="C1047" s="2" t="str">
        <f>"57286"</f>
        <v>57286</v>
      </c>
      <c r="D1047" t="s">
        <v>1069</v>
      </c>
      <c r="E1047" t="s">
        <v>4</v>
      </c>
      <c r="F1047">
        <v>29</v>
      </c>
      <c r="H1047" t="s">
        <v>5</v>
      </c>
      <c r="I1047" s="1">
        <v>240.95</v>
      </c>
      <c r="J1047" s="1">
        <v>237</v>
      </c>
      <c r="K1047" t="s">
        <v>6</v>
      </c>
    </row>
    <row r="1048" spans="1:11">
      <c r="A1048" t="s">
        <v>957</v>
      </c>
      <c r="B1048">
        <v>531479</v>
      </c>
      <c r="C1048" s="2" t="str">
        <f>"58001"</f>
        <v>58001</v>
      </c>
      <c r="D1048" t="s">
        <v>1070</v>
      </c>
      <c r="E1048" t="s">
        <v>4</v>
      </c>
      <c r="F1048">
        <v>14</v>
      </c>
      <c r="H1048" t="s">
        <v>5</v>
      </c>
      <c r="I1048" s="1">
        <v>109.49</v>
      </c>
      <c r="J1048" s="1">
        <v>107.7</v>
      </c>
      <c r="K1048" t="s">
        <v>6</v>
      </c>
    </row>
    <row r="1049" spans="1:11">
      <c r="A1049" t="s">
        <v>957</v>
      </c>
      <c r="B1049">
        <v>531483</v>
      </c>
      <c r="C1049" s="2" t="str">
        <f>"59943"</f>
        <v>59943</v>
      </c>
      <c r="D1049" t="s">
        <v>1071</v>
      </c>
      <c r="E1049" t="s">
        <v>4</v>
      </c>
      <c r="F1049">
        <v>37</v>
      </c>
      <c r="H1049" t="s">
        <v>5</v>
      </c>
      <c r="I1049" s="1">
        <v>192.31</v>
      </c>
      <c r="J1049" s="1">
        <v>189.15</v>
      </c>
      <c r="K1049" t="s">
        <v>6</v>
      </c>
    </row>
    <row r="1050" spans="1:11">
      <c r="A1050" t="s">
        <v>957</v>
      </c>
      <c r="B1050">
        <v>531485</v>
      </c>
      <c r="C1050" s="2" t="str">
        <f>"62449"</f>
        <v>62449</v>
      </c>
      <c r="D1050" t="s">
        <v>1072</v>
      </c>
      <c r="E1050" t="s">
        <v>4</v>
      </c>
      <c r="F1050">
        <v>15</v>
      </c>
      <c r="H1050" t="s">
        <v>5</v>
      </c>
      <c r="I1050" s="1">
        <v>105.91</v>
      </c>
      <c r="J1050" s="1">
        <v>104.18</v>
      </c>
      <c r="K1050" t="s">
        <v>6</v>
      </c>
    </row>
    <row r="1051" spans="1:11">
      <c r="A1051" t="s">
        <v>957</v>
      </c>
      <c r="B1051">
        <v>531489</v>
      </c>
      <c r="C1051" s="2" t="str">
        <f>"62899"</f>
        <v>62899</v>
      </c>
      <c r="D1051" t="s">
        <v>1073</v>
      </c>
      <c r="E1051" t="s">
        <v>4</v>
      </c>
      <c r="F1051">
        <v>16</v>
      </c>
      <c r="H1051" t="s">
        <v>5</v>
      </c>
      <c r="I1051" s="1">
        <v>14.67</v>
      </c>
      <c r="J1051" s="1">
        <v>14.43</v>
      </c>
      <c r="K1051" t="s">
        <v>6</v>
      </c>
    </row>
    <row r="1052" spans="1:11">
      <c r="A1052" t="s">
        <v>957</v>
      </c>
      <c r="B1052">
        <v>531674</v>
      </c>
      <c r="C1052" s="2" t="str">
        <f>"660962"</f>
        <v>660962</v>
      </c>
      <c r="D1052" t="s">
        <v>1074</v>
      </c>
      <c r="E1052" t="s">
        <v>4</v>
      </c>
      <c r="F1052">
        <v>32</v>
      </c>
      <c r="H1052" t="s">
        <v>5</v>
      </c>
      <c r="I1052" s="1">
        <v>72.540000000000006</v>
      </c>
      <c r="J1052" s="1">
        <v>71.41</v>
      </c>
      <c r="K1052" t="s">
        <v>6</v>
      </c>
    </row>
    <row r="1053" spans="1:11">
      <c r="A1053" t="s">
        <v>957</v>
      </c>
      <c r="B1053">
        <v>531675</v>
      </c>
      <c r="C1053" s="2" t="str">
        <f>"664625"</f>
        <v>664625</v>
      </c>
      <c r="D1053" t="s">
        <v>1075</v>
      </c>
      <c r="E1053" t="s">
        <v>4</v>
      </c>
      <c r="F1053">
        <v>31</v>
      </c>
      <c r="H1053" t="s">
        <v>5</v>
      </c>
      <c r="I1053" s="1">
        <v>72.540000000000006</v>
      </c>
      <c r="J1053" s="1">
        <v>71.41</v>
      </c>
      <c r="K1053" t="s">
        <v>6</v>
      </c>
    </row>
    <row r="1054" spans="1:11">
      <c r="A1054" t="s">
        <v>957</v>
      </c>
      <c r="B1054">
        <v>531676</v>
      </c>
      <c r="C1054" s="2" t="str">
        <f>"703225"</f>
        <v>703225</v>
      </c>
      <c r="D1054" t="s">
        <v>1076</v>
      </c>
      <c r="E1054" t="s">
        <v>4</v>
      </c>
      <c r="F1054">
        <v>31</v>
      </c>
      <c r="H1054" t="s">
        <v>5</v>
      </c>
      <c r="I1054" s="1">
        <v>72.540000000000006</v>
      </c>
      <c r="J1054" s="1">
        <v>71.41</v>
      </c>
      <c r="K1054" t="s">
        <v>6</v>
      </c>
    </row>
    <row r="1055" spans="1:11">
      <c r="A1055" t="s">
        <v>957</v>
      </c>
      <c r="B1055">
        <v>531693</v>
      </c>
      <c r="C1055" s="2" t="str">
        <f>"71075"</f>
        <v>71075</v>
      </c>
      <c r="D1055" t="s">
        <v>1077</v>
      </c>
      <c r="E1055" t="s">
        <v>4</v>
      </c>
      <c r="F1055">
        <v>14</v>
      </c>
      <c r="H1055" t="s">
        <v>5</v>
      </c>
      <c r="I1055" s="1">
        <v>91.35</v>
      </c>
      <c r="J1055" s="1">
        <v>89.86</v>
      </c>
      <c r="K1055" t="s">
        <v>6</v>
      </c>
    </row>
    <row r="1056" spans="1:11">
      <c r="A1056" t="s">
        <v>957</v>
      </c>
      <c r="B1056">
        <v>531490</v>
      </c>
      <c r="C1056" s="2" t="str">
        <f>"71076"</f>
        <v>71076</v>
      </c>
      <c r="D1056" t="s">
        <v>1078</v>
      </c>
      <c r="E1056" t="s">
        <v>4</v>
      </c>
      <c r="F1056">
        <v>18</v>
      </c>
      <c r="H1056" t="s">
        <v>5</v>
      </c>
      <c r="I1056" s="1">
        <v>135.03</v>
      </c>
      <c r="J1056" s="1">
        <v>132.82</v>
      </c>
      <c r="K1056" t="s">
        <v>6</v>
      </c>
    </row>
    <row r="1057" spans="1:11">
      <c r="A1057" t="s">
        <v>957</v>
      </c>
      <c r="B1057">
        <v>531491</v>
      </c>
      <c r="C1057" s="2" t="str">
        <f>"71078"</f>
        <v>71078</v>
      </c>
      <c r="D1057" t="s">
        <v>1079</v>
      </c>
      <c r="E1057" t="s">
        <v>4</v>
      </c>
      <c r="F1057">
        <v>18</v>
      </c>
      <c r="H1057" t="s">
        <v>5</v>
      </c>
      <c r="I1057" s="1">
        <v>135.03</v>
      </c>
      <c r="J1057" s="1">
        <v>132.82</v>
      </c>
      <c r="K1057" t="s">
        <v>6</v>
      </c>
    </row>
    <row r="1058" spans="1:11">
      <c r="A1058" t="s">
        <v>957</v>
      </c>
      <c r="B1058">
        <v>531492</v>
      </c>
      <c r="C1058" s="2" t="str">
        <f>"71079"</f>
        <v>71079</v>
      </c>
      <c r="D1058" t="s">
        <v>1080</v>
      </c>
      <c r="E1058" t="s">
        <v>4</v>
      </c>
      <c r="F1058">
        <v>11</v>
      </c>
      <c r="H1058" t="s">
        <v>5</v>
      </c>
      <c r="I1058" s="1">
        <v>90.02</v>
      </c>
      <c r="J1058" s="1">
        <v>88.55</v>
      </c>
      <c r="K1058" t="s">
        <v>6</v>
      </c>
    </row>
    <row r="1059" spans="1:11">
      <c r="A1059" t="s">
        <v>957</v>
      </c>
      <c r="B1059">
        <v>531698</v>
      </c>
      <c r="C1059" s="2" t="str">
        <f>"71080"</f>
        <v>71080</v>
      </c>
      <c r="D1059" t="s">
        <v>1081</v>
      </c>
      <c r="E1059" t="s">
        <v>4</v>
      </c>
      <c r="F1059">
        <v>13</v>
      </c>
      <c r="H1059" t="s">
        <v>5</v>
      </c>
      <c r="I1059" s="1">
        <v>91.35</v>
      </c>
      <c r="J1059" s="1">
        <v>89.86</v>
      </c>
      <c r="K1059" t="s">
        <v>6</v>
      </c>
    </row>
    <row r="1060" spans="1:11">
      <c r="A1060" t="s">
        <v>957</v>
      </c>
      <c r="B1060">
        <v>531493</v>
      </c>
      <c r="C1060" s="2" t="str">
        <f>"71081"</f>
        <v>71081</v>
      </c>
      <c r="D1060" t="s">
        <v>1082</v>
      </c>
      <c r="E1060" t="s">
        <v>4</v>
      </c>
      <c r="F1060">
        <v>14</v>
      </c>
      <c r="H1060" t="s">
        <v>5</v>
      </c>
      <c r="I1060" s="1">
        <v>91.35</v>
      </c>
      <c r="J1060" s="1">
        <v>89.86</v>
      </c>
      <c r="K1060" t="s">
        <v>6</v>
      </c>
    </row>
    <row r="1061" spans="1:11">
      <c r="A1061" t="s">
        <v>957</v>
      </c>
      <c r="B1061">
        <v>531494</v>
      </c>
      <c r="C1061" s="2" t="str">
        <f>"71082"</f>
        <v>71082</v>
      </c>
      <c r="D1061" t="s">
        <v>1083</v>
      </c>
      <c r="E1061" t="s">
        <v>4</v>
      </c>
      <c r="F1061">
        <v>15</v>
      </c>
      <c r="H1061" t="s">
        <v>5</v>
      </c>
      <c r="I1061" s="1">
        <v>135.03</v>
      </c>
      <c r="J1061" s="1">
        <v>132.82</v>
      </c>
      <c r="K1061" t="s">
        <v>6</v>
      </c>
    </row>
    <row r="1062" spans="1:11">
      <c r="A1062" t="s">
        <v>957</v>
      </c>
      <c r="B1062">
        <v>531495</v>
      </c>
      <c r="C1062" s="2" t="str">
        <f>"71083"</f>
        <v>71083</v>
      </c>
      <c r="D1062" t="s">
        <v>1084</v>
      </c>
      <c r="E1062" t="s">
        <v>4</v>
      </c>
      <c r="F1062">
        <v>16</v>
      </c>
      <c r="H1062" t="s">
        <v>5</v>
      </c>
      <c r="I1062" s="1">
        <v>135.03</v>
      </c>
      <c r="J1062" s="1">
        <v>132.82</v>
      </c>
      <c r="K1062" t="s">
        <v>6</v>
      </c>
    </row>
    <row r="1063" spans="1:11">
      <c r="A1063" t="s">
        <v>957</v>
      </c>
      <c r="B1063">
        <v>531496</v>
      </c>
      <c r="C1063" s="2" t="str">
        <f>"71084"</f>
        <v>71084</v>
      </c>
      <c r="D1063" t="s">
        <v>1085</v>
      </c>
      <c r="E1063" t="s">
        <v>4</v>
      </c>
      <c r="F1063">
        <v>15</v>
      </c>
      <c r="H1063" t="s">
        <v>5</v>
      </c>
      <c r="I1063" s="1">
        <v>135.03</v>
      </c>
      <c r="J1063" s="1">
        <v>132.82</v>
      </c>
      <c r="K1063" t="s">
        <v>6</v>
      </c>
    </row>
    <row r="1064" spans="1:11">
      <c r="A1064" t="s">
        <v>957</v>
      </c>
      <c r="B1064">
        <v>531497</v>
      </c>
      <c r="C1064" s="2" t="str">
        <f>"71086"</f>
        <v>71086</v>
      </c>
      <c r="D1064" t="s">
        <v>1086</v>
      </c>
      <c r="E1064" t="s">
        <v>4</v>
      </c>
      <c r="F1064">
        <v>12</v>
      </c>
      <c r="H1064" t="s">
        <v>5</v>
      </c>
      <c r="I1064" s="1">
        <v>135.03</v>
      </c>
      <c r="J1064" s="1">
        <v>132.82</v>
      </c>
      <c r="K1064" t="s">
        <v>6</v>
      </c>
    </row>
    <row r="1065" spans="1:11">
      <c r="A1065" t="s">
        <v>957</v>
      </c>
      <c r="B1065">
        <v>531498</v>
      </c>
      <c r="C1065" s="2" t="str">
        <f>"71092"</f>
        <v>71092</v>
      </c>
      <c r="D1065" t="s">
        <v>1087</v>
      </c>
      <c r="E1065" t="s">
        <v>4</v>
      </c>
      <c r="F1065">
        <v>18</v>
      </c>
      <c r="H1065" t="s">
        <v>5</v>
      </c>
      <c r="I1065" s="1">
        <v>135.03</v>
      </c>
      <c r="J1065" s="1">
        <v>132.82</v>
      </c>
      <c r="K1065" t="s">
        <v>6</v>
      </c>
    </row>
    <row r="1066" spans="1:11">
      <c r="A1066" t="s">
        <v>957</v>
      </c>
      <c r="B1066">
        <v>531499</v>
      </c>
      <c r="C1066" s="2" t="str">
        <f>"71093"</f>
        <v>71093</v>
      </c>
      <c r="D1066" t="s">
        <v>1088</v>
      </c>
      <c r="E1066" t="s">
        <v>4</v>
      </c>
      <c r="F1066">
        <v>14</v>
      </c>
      <c r="H1066" t="s">
        <v>5</v>
      </c>
      <c r="I1066" s="1">
        <v>91.35</v>
      </c>
      <c r="J1066" s="1">
        <v>89.86</v>
      </c>
      <c r="K1066" t="s">
        <v>6</v>
      </c>
    </row>
    <row r="1067" spans="1:11">
      <c r="A1067" t="s">
        <v>957</v>
      </c>
      <c r="B1067">
        <v>531925</v>
      </c>
      <c r="C1067" s="2" t="str">
        <f>"754775"</f>
        <v>754775</v>
      </c>
      <c r="D1067" t="s">
        <v>1089</v>
      </c>
      <c r="E1067" t="s">
        <v>4</v>
      </c>
      <c r="F1067">
        <v>15</v>
      </c>
      <c r="H1067" t="s">
        <v>5</v>
      </c>
      <c r="I1067" s="1">
        <v>45.52</v>
      </c>
      <c r="J1067" s="1">
        <v>44.82</v>
      </c>
      <c r="K1067" t="s">
        <v>6</v>
      </c>
    </row>
    <row r="1068" spans="1:11">
      <c r="A1068" t="s">
        <v>957</v>
      </c>
      <c r="B1068">
        <v>531500</v>
      </c>
      <c r="C1068" s="2" t="str">
        <f>"79320"</f>
        <v>79320</v>
      </c>
      <c r="D1068" t="s">
        <v>1090</v>
      </c>
      <c r="E1068" t="s">
        <v>4</v>
      </c>
      <c r="F1068">
        <v>10</v>
      </c>
      <c r="H1068" t="s">
        <v>5</v>
      </c>
      <c r="I1068" s="1">
        <v>54.28</v>
      </c>
      <c r="J1068" s="1">
        <v>53.39</v>
      </c>
      <c r="K1068" t="s">
        <v>6</v>
      </c>
    </row>
    <row r="1069" spans="1:11">
      <c r="A1069" t="s">
        <v>957</v>
      </c>
      <c r="B1069">
        <v>531501</v>
      </c>
      <c r="C1069" s="2" t="str">
        <f>"79698"</f>
        <v>79698</v>
      </c>
      <c r="D1069" t="s">
        <v>1091</v>
      </c>
      <c r="E1069" t="s">
        <v>4</v>
      </c>
      <c r="F1069">
        <v>36</v>
      </c>
      <c r="H1069" t="s">
        <v>5</v>
      </c>
      <c r="I1069" s="1">
        <v>126.3</v>
      </c>
      <c r="J1069" s="1">
        <v>124.23</v>
      </c>
      <c r="K1069" t="s">
        <v>6</v>
      </c>
    </row>
    <row r="1070" spans="1:11">
      <c r="A1070" t="s">
        <v>957</v>
      </c>
      <c r="B1070">
        <v>531503</v>
      </c>
      <c r="C1070" s="2" t="str">
        <f>"79728"</f>
        <v>79728</v>
      </c>
      <c r="D1070" t="s">
        <v>1092</v>
      </c>
      <c r="E1070" t="s">
        <v>4</v>
      </c>
      <c r="F1070">
        <v>33</v>
      </c>
      <c r="H1070" t="s">
        <v>5</v>
      </c>
      <c r="I1070" s="1">
        <v>107.32</v>
      </c>
      <c r="J1070" s="1">
        <v>105.56</v>
      </c>
      <c r="K1070" t="s">
        <v>6</v>
      </c>
    </row>
    <row r="1071" spans="1:11">
      <c r="A1071" t="s">
        <v>957</v>
      </c>
      <c r="B1071">
        <v>531505</v>
      </c>
      <c r="C1071" s="2" t="str">
        <f>"79747"</f>
        <v>79747</v>
      </c>
      <c r="D1071" t="s">
        <v>1093</v>
      </c>
      <c r="E1071" t="s">
        <v>4</v>
      </c>
      <c r="F1071">
        <v>30</v>
      </c>
      <c r="H1071" t="s">
        <v>5</v>
      </c>
      <c r="I1071" s="1">
        <v>113.03</v>
      </c>
      <c r="J1071" s="1">
        <v>111.17</v>
      </c>
      <c r="K1071" t="s">
        <v>6</v>
      </c>
    </row>
    <row r="1072" spans="1:11">
      <c r="A1072" t="s">
        <v>957</v>
      </c>
      <c r="B1072">
        <v>531665</v>
      </c>
      <c r="C1072" s="2" t="str">
        <f>"887209"</f>
        <v>887209</v>
      </c>
      <c r="D1072" t="s">
        <v>1094</v>
      </c>
      <c r="E1072" t="s">
        <v>4</v>
      </c>
      <c r="F1072">
        <v>11</v>
      </c>
      <c r="H1072" t="s">
        <v>5</v>
      </c>
      <c r="I1072" s="1">
        <v>67.260000000000005</v>
      </c>
      <c r="J1072" s="1">
        <v>66.209999999999994</v>
      </c>
      <c r="K1072" t="s">
        <v>6</v>
      </c>
    </row>
    <row r="1073" spans="1:11">
      <c r="A1073" t="s">
        <v>957</v>
      </c>
      <c r="B1073">
        <v>531677</v>
      </c>
      <c r="C1073" s="2" t="str">
        <f>"896402"</f>
        <v>896402</v>
      </c>
      <c r="D1073" t="s">
        <v>1095</v>
      </c>
      <c r="E1073" t="s">
        <v>4</v>
      </c>
      <c r="F1073">
        <v>39</v>
      </c>
      <c r="H1073" t="s">
        <v>5</v>
      </c>
      <c r="I1073" s="1">
        <v>109.02</v>
      </c>
      <c r="J1073" s="1">
        <v>107.32</v>
      </c>
      <c r="K1073" t="s">
        <v>6</v>
      </c>
    </row>
    <row r="1074" spans="1:11">
      <c r="A1074" t="s">
        <v>957</v>
      </c>
      <c r="B1074">
        <v>531666</v>
      </c>
      <c r="C1074" s="2" t="str">
        <f>"899289"</f>
        <v>899289</v>
      </c>
      <c r="D1074" t="s">
        <v>1096</v>
      </c>
      <c r="E1074" t="s">
        <v>4</v>
      </c>
      <c r="F1074">
        <v>17</v>
      </c>
      <c r="H1074" t="s">
        <v>5</v>
      </c>
      <c r="I1074" s="1">
        <v>100.89</v>
      </c>
      <c r="J1074" s="1">
        <v>99.32</v>
      </c>
      <c r="K1074" t="s">
        <v>6</v>
      </c>
    </row>
    <row r="1075" spans="1:11">
      <c r="A1075" t="s">
        <v>957</v>
      </c>
      <c r="B1075">
        <v>540949</v>
      </c>
      <c r="C1075" s="2" t="str">
        <f>"C2172"</f>
        <v>C2172</v>
      </c>
      <c r="D1075" t="s">
        <v>1097</v>
      </c>
      <c r="E1075" t="s">
        <v>4</v>
      </c>
      <c r="F1075">
        <v>17</v>
      </c>
      <c r="H1075" t="s">
        <v>5</v>
      </c>
      <c r="I1075" s="1">
        <v>74.77</v>
      </c>
      <c r="J1075" s="1">
        <v>73.599999999999994</v>
      </c>
      <c r="K1075" t="s">
        <v>6</v>
      </c>
    </row>
    <row r="1076" spans="1:11">
      <c r="A1076" t="s">
        <v>957</v>
      </c>
      <c r="B1076">
        <v>531507</v>
      </c>
      <c r="C1076" s="2" t="str">
        <f>"C3966"</f>
        <v>C3966</v>
      </c>
      <c r="D1076" t="s">
        <v>1098</v>
      </c>
      <c r="E1076" t="s">
        <v>4</v>
      </c>
      <c r="F1076">
        <v>27</v>
      </c>
      <c r="H1076" t="s">
        <v>5</v>
      </c>
      <c r="I1076" s="1">
        <v>102.09</v>
      </c>
      <c r="J1076" s="1">
        <v>100.42</v>
      </c>
      <c r="K1076" t="s">
        <v>6</v>
      </c>
    </row>
    <row r="1077" spans="1:11">
      <c r="A1077" t="s">
        <v>957</v>
      </c>
      <c r="B1077">
        <v>531510</v>
      </c>
      <c r="C1077" s="2" t="str">
        <f>"D0795"</f>
        <v>D0795</v>
      </c>
      <c r="D1077" t="s">
        <v>1099</v>
      </c>
      <c r="E1077" t="s">
        <v>4</v>
      </c>
      <c r="F1077">
        <v>9</v>
      </c>
      <c r="H1077" t="s">
        <v>5</v>
      </c>
      <c r="I1077" s="1">
        <v>82.75</v>
      </c>
      <c r="J1077" s="1">
        <v>81.39</v>
      </c>
      <c r="K1077" t="s">
        <v>6</v>
      </c>
    </row>
    <row r="1078" spans="1:11">
      <c r="A1078" t="s">
        <v>957</v>
      </c>
      <c r="B1078">
        <v>531513</v>
      </c>
      <c r="C1078" s="2" t="str">
        <f>"D0796"</f>
        <v>D0796</v>
      </c>
      <c r="D1078" t="s">
        <v>1100</v>
      </c>
      <c r="E1078" t="s">
        <v>4</v>
      </c>
      <c r="F1078">
        <v>10</v>
      </c>
      <c r="H1078" t="s">
        <v>5</v>
      </c>
      <c r="I1078" s="1">
        <v>135.04</v>
      </c>
      <c r="J1078" s="1">
        <v>132.83000000000001</v>
      </c>
      <c r="K1078" t="s">
        <v>6</v>
      </c>
    </row>
    <row r="1079" spans="1:11">
      <c r="A1079" t="s">
        <v>957</v>
      </c>
      <c r="B1079">
        <v>531514</v>
      </c>
      <c r="C1079" s="2" t="str">
        <f>"D2024"</f>
        <v>D2024</v>
      </c>
      <c r="D1079" t="s">
        <v>1101</v>
      </c>
      <c r="E1079" t="s">
        <v>4</v>
      </c>
      <c r="F1079">
        <v>10</v>
      </c>
      <c r="H1079" t="s">
        <v>5</v>
      </c>
      <c r="I1079" s="1">
        <v>51.63</v>
      </c>
      <c r="J1079" s="1">
        <v>50.78</v>
      </c>
      <c r="K1079" t="s">
        <v>6</v>
      </c>
    </row>
    <row r="1080" spans="1:11">
      <c r="A1080" t="s">
        <v>957</v>
      </c>
      <c r="B1080">
        <v>531516</v>
      </c>
      <c r="C1080" s="2" t="str">
        <f>"D6315"</f>
        <v>D6315</v>
      </c>
      <c r="D1080" t="s">
        <v>1102</v>
      </c>
      <c r="E1080" t="s">
        <v>4</v>
      </c>
      <c r="F1080">
        <v>31</v>
      </c>
      <c r="H1080" t="s">
        <v>5</v>
      </c>
      <c r="I1080" s="1">
        <v>92.11</v>
      </c>
      <c r="J1080" s="1">
        <v>90.6</v>
      </c>
      <c r="K1080" t="s">
        <v>6</v>
      </c>
    </row>
    <row r="1081" spans="1:11">
      <c r="A1081" t="s">
        <v>957</v>
      </c>
      <c r="B1081">
        <v>531518</v>
      </c>
      <c r="C1081" s="2" t="str">
        <f>"D9070"</f>
        <v>D9070</v>
      </c>
      <c r="D1081" t="s">
        <v>1103</v>
      </c>
      <c r="E1081" t="s">
        <v>4</v>
      </c>
      <c r="F1081">
        <v>22</v>
      </c>
      <c r="H1081" t="s">
        <v>5</v>
      </c>
      <c r="I1081" s="1">
        <v>35.54</v>
      </c>
      <c r="J1081" s="1">
        <v>34.96</v>
      </c>
      <c r="K1081" t="s">
        <v>6</v>
      </c>
    </row>
    <row r="1082" spans="1:11">
      <c r="A1082" t="s">
        <v>957</v>
      </c>
      <c r="B1082">
        <v>531519</v>
      </c>
      <c r="C1082" s="2" t="str">
        <f>"E1515"</f>
        <v>E1515</v>
      </c>
      <c r="D1082" t="s">
        <v>1104</v>
      </c>
      <c r="E1082" t="s">
        <v>4</v>
      </c>
      <c r="F1082">
        <v>32</v>
      </c>
      <c r="H1082" t="s">
        <v>5</v>
      </c>
      <c r="I1082" s="1">
        <v>111.77</v>
      </c>
      <c r="J1082" s="1">
        <v>109.93</v>
      </c>
      <c r="K1082" t="s">
        <v>6</v>
      </c>
    </row>
    <row r="1083" spans="1:11">
      <c r="A1083" t="s">
        <v>957</v>
      </c>
      <c r="B1083">
        <v>531521</v>
      </c>
      <c r="C1083" s="2" t="str">
        <f>"E1907"</f>
        <v>E1907</v>
      </c>
      <c r="D1083" t="s">
        <v>1105</v>
      </c>
      <c r="E1083" t="s">
        <v>4</v>
      </c>
      <c r="F1083">
        <v>36</v>
      </c>
      <c r="H1083" t="s">
        <v>5</v>
      </c>
      <c r="I1083" s="1">
        <v>126.3</v>
      </c>
      <c r="J1083" s="1">
        <v>124.23</v>
      </c>
      <c r="K1083" t="s">
        <v>6</v>
      </c>
    </row>
    <row r="1084" spans="1:11">
      <c r="A1084" t="s">
        <v>957</v>
      </c>
      <c r="B1084">
        <v>531522</v>
      </c>
      <c r="C1084" s="2" t="str">
        <f>"E2788"</f>
        <v>E2788</v>
      </c>
      <c r="D1084" t="s">
        <v>1106</v>
      </c>
      <c r="E1084" t="s">
        <v>4</v>
      </c>
      <c r="F1084">
        <v>13</v>
      </c>
      <c r="H1084" t="s">
        <v>5</v>
      </c>
      <c r="I1084" s="1">
        <v>115.18</v>
      </c>
      <c r="J1084" s="1">
        <v>113.29</v>
      </c>
      <c r="K1084" t="s">
        <v>6</v>
      </c>
    </row>
    <row r="1085" spans="1:11">
      <c r="A1085" t="s">
        <v>957</v>
      </c>
      <c r="B1085">
        <v>531523</v>
      </c>
      <c r="C1085" s="2" t="str">
        <f>"E2789"</f>
        <v>E2789</v>
      </c>
      <c r="D1085" t="s">
        <v>1107</v>
      </c>
      <c r="E1085" t="s">
        <v>4</v>
      </c>
      <c r="F1085">
        <v>17</v>
      </c>
      <c r="H1085" t="s">
        <v>5</v>
      </c>
      <c r="I1085" s="1">
        <v>119.15</v>
      </c>
      <c r="J1085" s="1">
        <v>117.2</v>
      </c>
      <c r="K1085" t="s">
        <v>6</v>
      </c>
    </row>
    <row r="1086" spans="1:11">
      <c r="A1086" t="s">
        <v>957</v>
      </c>
      <c r="B1086">
        <v>531525</v>
      </c>
      <c r="C1086" s="2" t="str">
        <f>"E2790"</f>
        <v>E2790</v>
      </c>
      <c r="D1086" t="s">
        <v>1108</v>
      </c>
      <c r="E1086" t="s">
        <v>4</v>
      </c>
      <c r="F1086">
        <v>17</v>
      </c>
      <c r="H1086" t="s">
        <v>5</v>
      </c>
      <c r="I1086" s="1">
        <v>115.18</v>
      </c>
      <c r="J1086" s="1">
        <v>113.29</v>
      </c>
      <c r="K1086" t="s">
        <v>6</v>
      </c>
    </row>
    <row r="1087" spans="1:11">
      <c r="A1087" t="s">
        <v>957</v>
      </c>
      <c r="B1087">
        <v>531528</v>
      </c>
      <c r="C1087" s="2" t="str">
        <f>"E8516"</f>
        <v>E8516</v>
      </c>
      <c r="D1087" t="s">
        <v>1109</v>
      </c>
      <c r="E1087" t="s">
        <v>4</v>
      </c>
      <c r="F1087">
        <v>9</v>
      </c>
      <c r="H1087" t="s">
        <v>5</v>
      </c>
      <c r="I1087" s="1">
        <v>59.58</v>
      </c>
      <c r="J1087" s="1">
        <v>58.6</v>
      </c>
      <c r="K1087" t="s">
        <v>6</v>
      </c>
    </row>
    <row r="1088" spans="1:11">
      <c r="A1088" t="s">
        <v>957</v>
      </c>
      <c r="B1088">
        <v>531535</v>
      </c>
      <c r="C1088" s="2" t="str">
        <f>"E8518"</f>
        <v>E8518</v>
      </c>
      <c r="D1088" t="s">
        <v>1110</v>
      </c>
      <c r="E1088" t="s">
        <v>4</v>
      </c>
      <c r="F1088">
        <v>15</v>
      </c>
      <c r="H1088" t="s">
        <v>5</v>
      </c>
      <c r="I1088" s="1">
        <v>115.18</v>
      </c>
      <c r="J1088" s="1">
        <v>113.29</v>
      </c>
      <c r="K1088" t="s">
        <v>6</v>
      </c>
    </row>
    <row r="1089" spans="1:11">
      <c r="A1089" t="s">
        <v>957</v>
      </c>
      <c r="B1089">
        <v>531536</v>
      </c>
      <c r="C1089" s="2" t="str">
        <f>"E8519"</f>
        <v>E8519</v>
      </c>
      <c r="D1089" t="s">
        <v>1111</v>
      </c>
      <c r="E1089" t="s">
        <v>4</v>
      </c>
      <c r="F1089">
        <v>13</v>
      </c>
      <c r="H1089" t="s">
        <v>5</v>
      </c>
      <c r="I1089" s="1">
        <v>115.18</v>
      </c>
      <c r="J1089" s="1">
        <v>113.29</v>
      </c>
      <c r="K1089" t="s">
        <v>6</v>
      </c>
    </row>
    <row r="1090" spans="1:11">
      <c r="A1090" t="s">
        <v>957</v>
      </c>
      <c r="B1090">
        <v>531538</v>
      </c>
      <c r="C1090" s="2" t="str">
        <f>"E8792"</f>
        <v>E8792</v>
      </c>
      <c r="D1090" t="s">
        <v>1112</v>
      </c>
      <c r="E1090" t="s">
        <v>4</v>
      </c>
      <c r="F1090">
        <v>30</v>
      </c>
      <c r="H1090" t="s">
        <v>5</v>
      </c>
      <c r="I1090" s="1">
        <v>115.36</v>
      </c>
      <c r="J1090" s="1">
        <v>113.47</v>
      </c>
      <c r="K1090" t="s">
        <v>6</v>
      </c>
    </row>
    <row r="1091" spans="1:11">
      <c r="A1091" t="s">
        <v>957</v>
      </c>
      <c r="B1091">
        <v>531539</v>
      </c>
      <c r="C1091" s="2" t="str">
        <f>"E8883"</f>
        <v>E8883</v>
      </c>
      <c r="D1091" t="s">
        <v>1113</v>
      </c>
      <c r="E1091" t="s">
        <v>4</v>
      </c>
      <c r="F1091">
        <v>5</v>
      </c>
      <c r="H1091" t="s">
        <v>5</v>
      </c>
      <c r="I1091" s="1">
        <v>34.15</v>
      </c>
      <c r="J1091" s="1">
        <v>33.590000000000003</v>
      </c>
      <c r="K1091" t="s">
        <v>6</v>
      </c>
    </row>
    <row r="1092" spans="1:11">
      <c r="A1092" t="s">
        <v>957</v>
      </c>
      <c r="B1092">
        <v>531541</v>
      </c>
      <c r="C1092" s="2" t="str">
        <f>"E9155"</f>
        <v>E9155</v>
      </c>
      <c r="D1092" t="s">
        <v>1114</v>
      </c>
      <c r="E1092" t="s">
        <v>4</v>
      </c>
      <c r="F1092">
        <v>7.76</v>
      </c>
      <c r="H1092" t="s">
        <v>5</v>
      </c>
      <c r="I1092" s="1">
        <v>46.12</v>
      </c>
      <c r="J1092" s="1">
        <v>45.37</v>
      </c>
      <c r="K1092" t="s">
        <v>6</v>
      </c>
    </row>
    <row r="1093" spans="1:11">
      <c r="A1093" t="s">
        <v>957</v>
      </c>
      <c r="B1093">
        <v>531543</v>
      </c>
      <c r="C1093" s="2" t="str">
        <f>"E9156"</f>
        <v>E9156</v>
      </c>
      <c r="D1093" t="s">
        <v>1115</v>
      </c>
      <c r="E1093" t="s">
        <v>4</v>
      </c>
      <c r="F1093">
        <v>7</v>
      </c>
      <c r="H1093" t="s">
        <v>5</v>
      </c>
      <c r="I1093" s="1">
        <v>58.83</v>
      </c>
      <c r="J1093" s="1">
        <v>57.86</v>
      </c>
      <c r="K1093" t="s">
        <v>6</v>
      </c>
    </row>
    <row r="1094" spans="1:11">
      <c r="A1094" t="s">
        <v>957</v>
      </c>
      <c r="B1094">
        <v>531545</v>
      </c>
      <c r="C1094" s="2" t="str">
        <f>"E9157"</f>
        <v>E9157</v>
      </c>
      <c r="D1094" t="s">
        <v>1116</v>
      </c>
      <c r="E1094" t="s">
        <v>4</v>
      </c>
      <c r="F1094">
        <v>9</v>
      </c>
      <c r="H1094" t="s">
        <v>5</v>
      </c>
      <c r="I1094" s="1">
        <v>59.13</v>
      </c>
      <c r="J1094" s="1">
        <v>58.16</v>
      </c>
      <c r="K1094" t="s">
        <v>6</v>
      </c>
    </row>
    <row r="1095" spans="1:11">
      <c r="A1095" t="s">
        <v>957</v>
      </c>
      <c r="B1095">
        <v>531547</v>
      </c>
      <c r="C1095" s="2" t="str">
        <f>"E9158"</f>
        <v>E9158</v>
      </c>
      <c r="D1095" t="s">
        <v>1117</v>
      </c>
      <c r="E1095" t="s">
        <v>4</v>
      </c>
      <c r="F1095">
        <v>18</v>
      </c>
      <c r="H1095" t="s">
        <v>5</v>
      </c>
      <c r="I1095" s="1">
        <v>70.849999999999994</v>
      </c>
      <c r="J1095" s="1">
        <v>69.69</v>
      </c>
      <c r="K1095" t="s">
        <v>6</v>
      </c>
    </row>
    <row r="1096" spans="1:11">
      <c r="A1096" t="s">
        <v>957</v>
      </c>
      <c r="B1096">
        <v>531551</v>
      </c>
      <c r="C1096" s="2" t="str">
        <f>"E9159"</f>
        <v>E9159</v>
      </c>
      <c r="D1096" t="s">
        <v>1118</v>
      </c>
      <c r="E1096" t="s">
        <v>4</v>
      </c>
      <c r="F1096">
        <v>20</v>
      </c>
      <c r="H1096" t="s">
        <v>5</v>
      </c>
      <c r="I1096" s="1">
        <v>89.46</v>
      </c>
      <c r="J1096" s="1">
        <v>88</v>
      </c>
      <c r="K1096" t="s">
        <v>6</v>
      </c>
    </row>
    <row r="1097" spans="1:11">
      <c r="A1097" t="s">
        <v>957</v>
      </c>
      <c r="B1097">
        <v>531553</v>
      </c>
      <c r="C1097" s="2" t="str">
        <f>"E9160"</f>
        <v>E9160</v>
      </c>
      <c r="D1097" t="s">
        <v>1119</v>
      </c>
      <c r="E1097" t="s">
        <v>4</v>
      </c>
      <c r="F1097">
        <v>23</v>
      </c>
      <c r="H1097" t="s">
        <v>5</v>
      </c>
      <c r="I1097" s="1">
        <v>109.89</v>
      </c>
      <c r="J1097" s="1">
        <v>108.09</v>
      </c>
      <c r="K1097" t="s">
        <v>6</v>
      </c>
    </row>
    <row r="1098" spans="1:11">
      <c r="A1098" t="s">
        <v>957</v>
      </c>
      <c r="B1098">
        <v>538467</v>
      </c>
      <c r="C1098" s="2" t="str">
        <f>"EVF1023"</f>
        <v>EVF1023</v>
      </c>
      <c r="D1098" t="s">
        <v>1120</v>
      </c>
      <c r="E1098" t="s">
        <v>4</v>
      </c>
      <c r="F1098">
        <v>30</v>
      </c>
      <c r="H1098" t="s">
        <v>5</v>
      </c>
      <c r="I1098" s="1">
        <v>76.19</v>
      </c>
      <c r="J1098" s="1">
        <v>74.95</v>
      </c>
      <c r="K1098" t="s">
        <v>6</v>
      </c>
    </row>
    <row r="1099" spans="1:11">
      <c r="A1099" t="s">
        <v>957</v>
      </c>
      <c r="B1099">
        <v>531558</v>
      </c>
      <c r="C1099" s="2" t="str">
        <f>"G2100"</f>
        <v>G2100</v>
      </c>
      <c r="D1099" t="s">
        <v>1121</v>
      </c>
      <c r="E1099" t="s">
        <v>4</v>
      </c>
      <c r="F1099">
        <v>14</v>
      </c>
      <c r="H1099" t="s">
        <v>5</v>
      </c>
      <c r="I1099" s="1">
        <v>50.14</v>
      </c>
      <c r="J1099" s="1">
        <v>49.32</v>
      </c>
      <c r="K1099" t="s">
        <v>6</v>
      </c>
    </row>
    <row r="1100" spans="1:11">
      <c r="A1100" t="s">
        <v>957</v>
      </c>
      <c r="B1100">
        <v>531560</v>
      </c>
      <c r="C1100" s="2" t="str">
        <f>"G2102"</f>
        <v>G2102</v>
      </c>
      <c r="D1100" t="s">
        <v>1122</v>
      </c>
      <c r="E1100" t="s">
        <v>4</v>
      </c>
      <c r="F1100">
        <v>10</v>
      </c>
      <c r="H1100" t="s">
        <v>5</v>
      </c>
      <c r="I1100" s="1">
        <v>37.22</v>
      </c>
      <c r="J1100" s="1">
        <v>36.61</v>
      </c>
      <c r="K1100" t="s">
        <v>6</v>
      </c>
    </row>
    <row r="1101" spans="1:11">
      <c r="A1101" t="s">
        <v>957</v>
      </c>
      <c r="B1101">
        <v>531562</v>
      </c>
      <c r="C1101" s="2" t="str">
        <f>"G2277"</f>
        <v>G2277</v>
      </c>
      <c r="D1101" t="s">
        <v>1123</v>
      </c>
      <c r="E1101" t="s">
        <v>4</v>
      </c>
      <c r="F1101">
        <v>29</v>
      </c>
      <c r="H1101" t="s">
        <v>5</v>
      </c>
      <c r="I1101" s="1">
        <v>141.22</v>
      </c>
      <c r="J1101" s="1">
        <v>138.9</v>
      </c>
      <c r="K1101" t="s">
        <v>6</v>
      </c>
    </row>
    <row r="1102" spans="1:11">
      <c r="A1102" t="s">
        <v>957</v>
      </c>
      <c r="B1102">
        <v>531566</v>
      </c>
      <c r="C1102" s="2" t="str">
        <f>"G3570"</f>
        <v>G3570</v>
      </c>
      <c r="D1102" t="s">
        <v>1124</v>
      </c>
      <c r="E1102" t="s">
        <v>4</v>
      </c>
      <c r="F1102">
        <v>15</v>
      </c>
      <c r="H1102" t="s">
        <v>5</v>
      </c>
      <c r="I1102" s="1">
        <v>111.21</v>
      </c>
      <c r="J1102" s="1">
        <v>109.38</v>
      </c>
      <c r="K1102" t="s">
        <v>6</v>
      </c>
    </row>
    <row r="1103" spans="1:11">
      <c r="A1103" t="s">
        <v>957</v>
      </c>
      <c r="B1103">
        <v>531568</v>
      </c>
      <c r="C1103" s="2" t="str">
        <f>"G3573"</f>
        <v>G3573</v>
      </c>
      <c r="D1103" t="s">
        <v>1125</v>
      </c>
      <c r="E1103" t="s">
        <v>4</v>
      </c>
      <c r="F1103">
        <v>13</v>
      </c>
      <c r="H1103" t="s">
        <v>5</v>
      </c>
      <c r="I1103" s="1">
        <v>111.21</v>
      </c>
      <c r="J1103" s="1">
        <v>109.38</v>
      </c>
      <c r="K1103" t="s">
        <v>6</v>
      </c>
    </row>
    <row r="1104" spans="1:11">
      <c r="A1104" t="s">
        <v>957</v>
      </c>
      <c r="B1104">
        <v>531573</v>
      </c>
      <c r="C1104" s="2" t="str">
        <f>"G3751"</f>
        <v>G3751</v>
      </c>
      <c r="D1104" t="s">
        <v>1126</v>
      </c>
      <c r="E1104" t="s">
        <v>4</v>
      </c>
      <c r="F1104">
        <v>13</v>
      </c>
      <c r="H1104" t="s">
        <v>5</v>
      </c>
      <c r="I1104" s="1">
        <v>74.33</v>
      </c>
      <c r="J1104" s="1">
        <v>73.11</v>
      </c>
      <c r="K1104" t="s">
        <v>6</v>
      </c>
    </row>
    <row r="1105" spans="1:11">
      <c r="A1105" t="s">
        <v>957</v>
      </c>
      <c r="B1105">
        <v>531576</v>
      </c>
      <c r="C1105" s="2" t="str">
        <f>"G3752"</f>
        <v>G3752</v>
      </c>
      <c r="D1105" t="s">
        <v>1127</v>
      </c>
      <c r="E1105" t="s">
        <v>4</v>
      </c>
      <c r="F1105">
        <v>17</v>
      </c>
      <c r="H1105" t="s">
        <v>5</v>
      </c>
      <c r="I1105" s="1">
        <v>148.65</v>
      </c>
      <c r="J1105" s="1">
        <v>146.21</v>
      </c>
      <c r="K1105" t="s">
        <v>6</v>
      </c>
    </row>
    <row r="1106" spans="1:11">
      <c r="A1106" t="s">
        <v>957</v>
      </c>
      <c r="B1106">
        <v>531578</v>
      </c>
      <c r="C1106" s="2" t="str">
        <f>"G3754"</f>
        <v>G3754</v>
      </c>
      <c r="D1106" t="s">
        <v>1128</v>
      </c>
      <c r="E1106" t="s">
        <v>4</v>
      </c>
      <c r="F1106">
        <v>8</v>
      </c>
      <c r="H1106" t="s">
        <v>5</v>
      </c>
      <c r="I1106" s="1">
        <v>79.900000000000006</v>
      </c>
      <c r="J1106" s="1">
        <v>78.59</v>
      </c>
      <c r="K1106" t="s">
        <v>6</v>
      </c>
    </row>
    <row r="1107" spans="1:11">
      <c r="A1107" t="s">
        <v>957</v>
      </c>
      <c r="B1107">
        <v>531580</v>
      </c>
      <c r="C1107" s="2" t="str">
        <f>"G4315"</f>
        <v>G4315</v>
      </c>
      <c r="D1107" t="s">
        <v>1129</v>
      </c>
      <c r="E1107" t="s">
        <v>4</v>
      </c>
      <c r="F1107">
        <v>22</v>
      </c>
      <c r="H1107" t="s">
        <v>5</v>
      </c>
      <c r="I1107" s="1">
        <v>131.84</v>
      </c>
      <c r="J1107" s="1">
        <v>129.68</v>
      </c>
      <c r="K1107" t="s">
        <v>6</v>
      </c>
    </row>
    <row r="1108" spans="1:11">
      <c r="A1108" t="s">
        <v>957</v>
      </c>
      <c r="B1108">
        <v>531582</v>
      </c>
      <c r="C1108" s="2" t="str">
        <f>"G4373"</f>
        <v>G4373</v>
      </c>
      <c r="D1108" t="s">
        <v>1130</v>
      </c>
      <c r="E1108" t="s">
        <v>4</v>
      </c>
      <c r="F1108">
        <v>20</v>
      </c>
      <c r="H1108" t="s">
        <v>5</v>
      </c>
      <c r="I1108" s="1">
        <v>122.08</v>
      </c>
      <c r="J1108" s="1">
        <v>120.08</v>
      </c>
      <c r="K1108" t="s">
        <v>6</v>
      </c>
    </row>
    <row r="1109" spans="1:11">
      <c r="A1109" t="s">
        <v>957</v>
      </c>
      <c r="B1109">
        <v>531586</v>
      </c>
      <c r="C1109" s="2" t="str">
        <f>"G4375"</f>
        <v>G4375</v>
      </c>
      <c r="D1109" t="s">
        <v>1131</v>
      </c>
      <c r="E1109" t="s">
        <v>4</v>
      </c>
      <c r="F1109">
        <v>20</v>
      </c>
      <c r="H1109" t="s">
        <v>5</v>
      </c>
      <c r="I1109" s="1">
        <v>120.78</v>
      </c>
      <c r="J1109" s="1">
        <v>118.8</v>
      </c>
      <c r="K1109" t="s">
        <v>6</v>
      </c>
    </row>
    <row r="1110" spans="1:11">
      <c r="A1110" t="s">
        <v>957</v>
      </c>
      <c r="B1110">
        <v>531588</v>
      </c>
      <c r="C1110" s="2" t="str">
        <f>"G4392"</f>
        <v>G4392</v>
      </c>
      <c r="D1110" t="s">
        <v>1132</v>
      </c>
      <c r="E1110" t="s">
        <v>4</v>
      </c>
      <c r="F1110">
        <v>34</v>
      </c>
      <c r="H1110" t="s">
        <v>5</v>
      </c>
      <c r="I1110" s="1">
        <v>137.49</v>
      </c>
      <c r="J1110" s="1">
        <v>135.24</v>
      </c>
      <c r="K1110" t="s">
        <v>6</v>
      </c>
    </row>
    <row r="1111" spans="1:11">
      <c r="A1111" t="s">
        <v>957</v>
      </c>
      <c r="B1111">
        <v>531590</v>
      </c>
      <c r="C1111" s="2" t="str">
        <f>"G4394"</f>
        <v>G4394</v>
      </c>
      <c r="D1111" t="s">
        <v>1133</v>
      </c>
      <c r="E1111" t="s">
        <v>4</v>
      </c>
      <c r="F1111">
        <v>13</v>
      </c>
      <c r="H1111" t="s">
        <v>5</v>
      </c>
      <c r="I1111" s="1">
        <v>81.75</v>
      </c>
      <c r="J1111" s="1">
        <v>80.41</v>
      </c>
      <c r="K1111" t="s">
        <v>6</v>
      </c>
    </row>
    <row r="1112" spans="1:11">
      <c r="A1112" t="s">
        <v>957</v>
      </c>
      <c r="B1112">
        <v>531591</v>
      </c>
      <c r="C1112" s="2" t="str">
        <f>"G4395"</f>
        <v>G4395</v>
      </c>
      <c r="D1112" t="s">
        <v>1134</v>
      </c>
      <c r="E1112" t="s">
        <v>4</v>
      </c>
      <c r="F1112">
        <v>25</v>
      </c>
      <c r="H1112" t="s">
        <v>5</v>
      </c>
      <c r="I1112" s="1">
        <v>128.44</v>
      </c>
      <c r="J1112" s="1">
        <v>126.34</v>
      </c>
      <c r="K1112" t="s">
        <v>6</v>
      </c>
    </row>
    <row r="1113" spans="1:11">
      <c r="A1113" t="s">
        <v>957</v>
      </c>
      <c r="B1113">
        <v>531592</v>
      </c>
      <c r="C1113" s="2" t="str">
        <f>"G4396"</f>
        <v>G4396</v>
      </c>
      <c r="D1113" t="s">
        <v>1135</v>
      </c>
      <c r="E1113" t="s">
        <v>4</v>
      </c>
      <c r="F1113">
        <v>26</v>
      </c>
      <c r="H1113" t="s">
        <v>5</v>
      </c>
      <c r="I1113" s="1">
        <v>130.08000000000001</v>
      </c>
      <c r="J1113" s="1">
        <v>127.95</v>
      </c>
      <c r="K1113" t="s">
        <v>6</v>
      </c>
    </row>
    <row r="1114" spans="1:11">
      <c r="A1114" t="s">
        <v>957</v>
      </c>
      <c r="B1114">
        <v>531593</v>
      </c>
      <c r="C1114" s="2" t="str">
        <f>"G4398"</f>
        <v>G4398</v>
      </c>
      <c r="D1114" t="s">
        <v>1136</v>
      </c>
      <c r="E1114" t="s">
        <v>4</v>
      </c>
      <c r="F1114">
        <v>43</v>
      </c>
      <c r="H1114" t="s">
        <v>5</v>
      </c>
      <c r="I1114" s="1">
        <v>148.65</v>
      </c>
      <c r="J1114" s="1">
        <v>146.21</v>
      </c>
      <c r="K1114" t="s">
        <v>6</v>
      </c>
    </row>
    <row r="1115" spans="1:11">
      <c r="A1115" t="s">
        <v>957</v>
      </c>
      <c r="B1115">
        <v>531595</v>
      </c>
      <c r="C1115" s="2" t="str">
        <f>"G4399"</f>
        <v>G4399</v>
      </c>
      <c r="D1115" t="s">
        <v>1137</v>
      </c>
      <c r="E1115" t="s">
        <v>4</v>
      </c>
      <c r="F1115">
        <v>25</v>
      </c>
      <c r="H1115" t="s">
        <v>5</v>
      </c>
      <c r="I1115" s="1">
        <v>148.65</v>
      </c>
      <c r="J1115" s="1">
        <v>146.21</v>
      </c>
      <c r="K1115" t="s">
        <v>6</v>
      </c>
    </row>
    <row r="1116" spans="1:11">
      <c r="A1116" t="s">
        <v>957</v>
      </c>
      <c r="B1116">
        <v>531597</v>
      </c>
      <c r="C1116" s="2" t="str">
        <f>"G4765"</f>
        <v>G4765</v>
      </c>
      <c r="D1116" t="s">
        <v>1138</v>
      </c>
      <c r="E1116" t="s">
        <v>4</v>
      </c>
      <c r="F1116">
        <v>23</v>
      </c>
      <c r="H1116" t="s">
        <v>5</v>
      </c>
      <c r="I1116" s="1">
        <v>126.36</v>
      </c>
      <c r="J1116" s="1">
        <v>124.29</v>
      </c>
      <c r="K1116" t="s">
        <v>6</v>
      </c>
    </row>
    <row r="1117" spans="1:11">
      <c r="A1117" t="s">
        <v>957</v>
      </c>
      <c r="B1117">
        <v>531598</v>
      </c>
      <c r="C1117" s="2" t="str">
        <f>"G4975"</f>
        <v>G4975</v>
      </c>
      <c r="D1117" t="s">
        <v>1139</v>
      </c>
      <c r="E1117" t="s">
        <v>4</v>
      </c>
      <c r="F1117">
        <v>25</v>
      </c>
      <c r="H1117" t="s">
        <v>5</v>
      </c>
      <c r="I1117" s="1">
        <v>167.23</v>
      </c>
      <c r="J1117" s="1">
        <v>164.49</v>
      </c>
      <c r="K1117" t="s">
        <v>6</v>
      </c>
    </row>
    <row r="1118" spans="1:11">
      <c r="A1118" t="s">
        <v>957</v>
      </c>
      <c r="B1118">
        <v>543745</v>
      </c>
      <c r="C1118" s="2" t="str">
        <f>"G6596"</f>
        <v>G6596</v>
      </c>
      <c r="D1118" t="s">
        <v>1140</v>
      </c>
      <c r="E1118" t="s">
        <v>4</v>
      </c>
      <c r="F1118">
        <v>13</v>
      </c>
      <c r="H1118" t="s">
        <v>5</v>
      </c>
      <c r="I1118" s="1">
        <v>72.73</v>
      </c>
      <c r="J1118" s="1">
        <v>71.540000000000006</v>
      </c>
      <c r="K1118" t="s">
        <v>6</v>
      </c>
    </row>
    <row r="1119" spans="1:11">
      <c r="A1119" t="s">
        <v>957</v>
      </c>
      <c r="B1119">
        <v>546339</v>
      </c>
      <c r="C1119" s="2" t="str">
        <f>"H0736"</f>
        <v>H0736</v>
      </c>
      <c r="D1119" t="s">
        <v>1141</v>
      </c>
      <c r="E1119" t="s">
        <v>4</v>
      </c>
      <c r="F1119">
        <v>46.5</v>
      </c>
      <c r="H1119" t="s">
        <v>5</v>
      </c>
      <c r="I1119" s="1">
        <v>168.67</v>
      </c>
      <c r="J1119" s="1">
        <v>165.91</v>
      </c>
      <c r="K1119" t="s">
        <v>6</v>
      </c>
    </row>
    <row r="1120" spans="1:11">
      <c r="A1120" t="s">
        <v>957</v>
      </c>
      <c r="B1120">
        <v>565864</v>
      </c>
      <c r="C1120" s="2" t="str">
        <f>"H4120"</f>
        <v>H4120</v>
      </c>
      <c r="D1120" t="s">
        <v>1142</v>
      </c>
      <c r="E1120" t="s">
        <v>4</v>
      </c>
      <c r="F1120">
        <v>11</v>
      </c>
      <c r="H1120" t="s">
        <v>5</v>
      </c>
      <c r="I1120" s="1">
        <v>77.790000000000006</v>
      </c>
      <c r="J1120" s="1">
        <v>76.52</v>
      </c>
      <c r="K1120" t="s">
        <v>6</v>
      </c>
    </row>
    <row r="1121" spans="1:11">
      <c r="A1121" t="s">
        <v>957</v>
      </c>
      <c r="B1121">
        <v>531600</v>
      </c>
      <c r="C1121" s="2" t="str">
        <f>"R0734"</f>
        <v>R0734</v>
      </c>
      <c r="D1121" t="s">
        <v>1143</v>
      </c>
      <c r="E1121" t="s">
        <v>4</v>
      </c>
      <c r="F1121">
        <v>5.0999999999999996</v>
      </c>
      <c r="H1121" t="s">
        <v>5</v>
      </c>
      <c r="I1121" s="1">
        <v>93.71</v>
      </c>
      <c r="J1121" s="1">
        <v>92.17</v>
      </c>
      <c r="K1121" t="s">
        <v>6</v>
      </c>
    </row>
    <row r="1122" spans="1:11">
      <c r="A1122" t="s">
        <v>957</v>
      </c>
      <c r="B1122">
        <v>531601</v>
      </c>
      <c r="C1122" s="2" t="str">
        <f>"R0735"</f>
        <v>R0735</v>
      </c>
      <c r="D1122" t="s">
        <v>1144</v>
      </c>
      <c r="E1122" t="s">
        <v>4</v>
      </c>
      <c r="F1122">
        <v>7</v>
      </c>
      <c r="H1122" t="s">
        <v>5</v>
      </c>
      <c r="I1122" s="1">
        <v>52.05</v>
      </c>
      <c r="J1122" s="1">
        <v>51.2</v>
      </c>
      <c r="K1122" t="s">
        <v>6</v>
      </c>
    </row>
    <row r="1123" spans="1:11">
      <c r="A1123" t="s">
        <v>957</v>
      </c>
      <c r="B1123">
        <v>531605</v>
      </c>
      <c r="C1123" s="2" t="str">
        <f>"R0737"</f>
        <v>R0737</v>
      </c>
      <c r="D1123" t="s">
        <v>1145</v>
      </c>
      <c r="E1123" t="s">
        <v>4</v>
      </c>
      <c r="F1123">
        <v>4</v>
      </c>
      <c r="H1123" t="s">
        <v>5</v>
      </c>
      <c r="I1123" s="1">
        <v>38.18</v>
      </c>
      <c r="J1123" s="1">
        <v>37.56</v>
      </c>
      <c r="K1123" t="s">
        <v>6</v>
      </c>
    </row>
    <row r="1124" spans="1:11">
      <c r="A1124" t="s">
        <v>957</v>
      </c>
      <c r="B1124">
        <v>531606</v>
      </c>
      <c r="C1124" s="2" t="str">
        <f>"R0738"</f>
        <v>R0738</v>
      </c>
      <c r="D1124" t="s">
        <v>1146</v>
      </c>
      <c r="E1124" t="s">
        <v>4</v>
      </c>
      <c r="F1124">
        <v>2</v>
      </c>
      <c r="H1124" t="s">
        <v>5</v>
      </c>
      <c r="I1124" s="1">
        <v>43.38</v>
      </c>
      <c r="J1124" s="1">
        <v>42.67</v>
      </c>
      <c r="K1124" t="s">
        <v>6</v>
      </c>
    </row>
    <row r="1125" spans="1:11">
      <c r="A1125" t="s">
        <v>957</v>
      </c>
      <c r="B1125">
        <v>531610</v>
      </c>
      <c r="C1125" s="2" t="str">
        <f>"R0740"</f>
        <v>R0740</v>
      </c>
      <c r="D1125" t="s">
        <v>1147</v>
      </c>
      <c r="E1125" t="s">
        <v>4</v>
      </c>
      <c r="F1125">
        <v>4</v>
      </c>
      <c r="H1125" t="s">
        <v>5</v>
      </c>
      <c r="I1125" s="1">
        <v>43.38</v>
      </c>
      <c r="J1125" s="1">
        <v>42.67</v>
      </c>
      <c r="K1125" t="s">
        <v>6</v>
      </c>
    </row>
    <row r="1126" spans="1:11">
      <c r="A1126" t="s">
        <v>957</v>
      </c>
      <c r="B1126">
        <v>531612</v>
      </c>
      <c r="C1126" s="2" t="str">
        <f>"R0741"</f>
        <v>R0741</v>
      </c>
      <c r="D1126" t="s">
        <v>1148</v>
      </c>
      <c r="E1126" t="s">
        <v>4</v>
      </c>
      <c r="F1126">
        <v>6</v>
      </c>
      <c r="H1126" t="s">
        <v>5</v>
      </c>
      <c r="I1126" s="1">
        <v>60.72</v>
      </c>
      <c r="J1126" s="1">
        <v>59.73</v>
      </c>
      <c r="K1126" t="s">
        <v>6</v>
      </c>
    </row>
    <row r="1127" spans="1:11">
      <c r="A1127" t="s">
        <v>957</v>
      </c>
      <c r="B1127">
        <v>531614</v>
      </c>
      <c r="C1127" s="2" t="str">
        <f>"R0742"</f>
        <v>R0742</v>
      </c>
      <c r="D1127" t="s">
        <v>1149</v>
      </c>
      <c r="E1127" t="s">
        <v>4</v>
      </c>
      <c r="F1127">
        <v>5</v>
      </c>
      <c r="H1127" t="s">
        <v>5</v>
      </c>
      <c r="I1127" s="1">
        <v>55.53</v>
      </c>
      <c r="J1127" s="1">
        <v>54.62</v>
      </c>
      <c r="K1127" t="s">
        <v>6</v>
      </c>
    </row>
    <row r="1128" spans="1:11">
      <c r="A1128" t="s">
        <v>957</v>
      </c>
      <c r="B1128">
        <v>531618</v>
      </c>
      <c r="C1128" s="2" t="str">
        <f>"R0744"</f>
        <v>R0744</v>
      </c>
      <c r="D1128" t="s">
        <v>1150</v>
      </c>
      <c r="E1128" t="s">
        <v>4</v>
      </c>
      <c r="F1128">
        <v>5.95</v>
      </c>
      <c r="H1128" t="s">
        <v>5</v>
      </c>
      <c r="I1128" s="1">
        <v>55.47</v>
      </c>
      <c r="J1128" s="1">
        <v>54.56</v>
      </c>
      <c r="K1128" t="s">
        <v>6</v>
      </c>
    </row>
    <row r="1129" spans="1:11">
      <c r="A1129" t="s">
        <v>957</v>
      </c>
      <c r="B1129">
        <v>531620</v>
      </c>
      <c r="C1129" s="2" t="str">
        <f>"R0745"</f>
        <v>R0745</v>
      </c>
      <c r="D1129" t="s">
        <v>1151</v>
      </c>
      <c r="E1129" t="s">
        <v>4</v>
      </c>
      <c r="F1129">
        <v>6.39</v>
      </c>
      <c r="H1129" t="s">
        <v>5</v>
      </c>
      <c r="I1129" s="1">
        <v>54.56</v>
      </c>
      <c r="J1129" s="1">
        <v>53.67</v>
      </c>
      <c r="K1129" t="s">
        <v>6</v>
      </c>
    </row>
    <row r="1130" spans="1:11">
      <c r="A1130" t="s">
        <v>957</v>
      </c>
      <c r="B1130">
        <v>531622</v>
      </c>
      <c r="C1130" s="2" t="str">
        <f>"R0746"</f>
        <v>R0746</v>
      </c>
      <c r="D1130" t="s">
        <v>1152</v>
      </c>
      <c r="E1130" t="s">
        <v>4</v>
      </c>
      <c r="F1130">
        <v>6.39</v>
      </c>
      <c r="H1130" t="s">
        <v>5</v>
      </c>
      <c r="I1130" s="1">
        <v>55.47</v>
      </c>
      <c r="J1130" s="1">
        <v>54.56</v>
      </c>
      <c r="K1130" t="s">
        <v>6</v>
      </c>
    </row>
    <row r="1131" spans="1:11">
      <c r="A1131" t="s">
        <v>957</v>
      </c>
      <c r="B1131">
        <v>531623</v>
      </c>
      <c r="C1131" s="2" t="str">
        <f>"R0747"</f>
        <v>R0747</v>
      </c>
      <c r="D1131" t="s">
        <v>1153</v>
      </c>
      <c r="E1131" t="s">
        <v>4</v>
      </c>
      <c r="F1131">
        <v>6.86</v>
      </c>
      <c r="H1131" t="s">
        <v>5</v>
      </c>
      <c r="I1131" s="1">
        <v>54.56</v>
      </c>
      <c r="J1131" s="1">
        <v>53.67</v>
      </c>
      <c r="K1131" t="s">
        <v>6</v>
      </c>
    </row>
    <row r="1132" spans="1:11">
      <c r="A1132" t="s">
        <v>957</v>
      </c>
      <c r="B1132">
        <v>531625</v>
      </c>
      <c r="C1132" s="2" t="str">
        <f>"T3601"</f>
        <v>T3601</v>
      </c>
      <c r="D1132" t="s">
        <v>1154</v>
      </c>
      <c r="E1132" t="s">
        <v>4</v>
      </c>
      <c r="F1132">
        <v>1.52</v>
      </c>
      <c r="H1132" t="s">
        <v>5</v>
      </c>
      <c r="I1132" s="1">
        <v>40.5</v>
      </c>
      <c r="J1132" s="1">
        <v>39.83</v>
      </c>
      <c r="K1132" t="s">
        <v>6</v>
      </c>
    </row>
    <row r="1133" spans="1:11">
      <c r="A1133" t="s">
        <v>957</v>
      </c>
      <c r="B1133">
        <v>531632</v>
      </c>
      <c r="C1133" s="2" t="str">
        <f>"T3604"</f>
        <v>T3604</v>
      </c>
      <c r="D1133" t="s">
        <v>1155</v>
      </c>
      <c r="E1133" t="s">
        <v>4</v>
      </c>
      <c r="F1133">
        <v>2.91</v>
      </c>
      <c r="H1133" t="s">
        <v>5</v>
      </c>
      <c r="I1133" s="1">
        <v>47.75</v>
      </c>
      <c r="J1133" s="1">
        <v>46.96</v>
      </c>
      <c r="K1133" t="s">
        <v>6</v>
      </c>
    </row>
    <row r="1134" spans="1:11">
      <c r="A1134" t="s">
        <v>957</v>
      </c>
      <c r="B1134">
        <v>531634</v>
      </c>
      <c r="C1134" s="2" t="str">
        <f>"T3606"</f>
        <v>T3606</v>
      </c>
      <c r="D1134" t="s">
        <v>1156</v>
      </c>
      <c r="E1134" t="s">
        <v>4</v>
      </c>
      <c r="F1134">
        <v>1.17</v>
      </c>
      <c r="H1134" t="s">
        <v>5</v>
      </c>
      <c r="I1134" s="1">
        <v>33.25</v>
      </c>
      <c r="J1134" s="1">
        <v>32.700000000000003</v>
      </c>
      <c r="K1134" t="s">
        <v>6</v>
      </c>
    </row>
    <row r="1135" spans="1:11">
      <c r="A1135" t="s">
        <v>957</v>
      </c>
      <c r="B1135">
        <v>531636</v>
      </c>
      <c r="C1135" s="2" t="str">
        <f>"T3628"</f>
        <v>T3628</v>
      </c>
      <c r="D1135" t="s">
        <v>1157</v>
      </c>
      <c r="E1135" t="s">
        <v>4</v>
      </c>
      <c r="F1135">
        <v>0.75</v>
      </c>
      <c r="H1135" t="s">
        <v>5</v>
      </c>
      <c r="I1135" s="1">
        <v>28.1</v>
      </c>
      <c r="J1135" s="1">
        <v>27.64</v>
      </c>
      <c r="K1135" t="s">
        <v>6</v>
      </c>
    </row>
    <row r="1136" spans="1:11">
      <c r="A1136" t="s">
        <v>957</v>
      </c>
      <c r="B1136">
        <v>531638</v>
      </c>
      <c r="C1136" s="2" t="str">
        <f>"T3629"</f>
        <v>T3629</v>
      </c>
      <c r="D1136" t="s">
        <v>1158</v>
      </c>
      <c r="E1136" t="s">
        <v>4</v>
      </c>
      <c r="F1136">
        <v>1.4</v>
      </c>
      <c r="H1136" t="s">
        <v>5</v>
      </c>
      <c r="I1136" s="1">
        <v>33.25</v>
      </c>
      <c r="J1136" s="1">
        <v>32.700000000000003</v>
      </c>
      <c r="K1136" t="s">
        <v>6</v>
      </c>
    </row>
    <row r="1137" spans="1:12">
      <c r="A1137" t="s">
        <v>957</v>
      </c>
      <c r="B1137">
        <v>537806</v>
      </c>
      <c r="C1137" s="2" t="str">
        <f>"T3801"</f>
        <v>T3801</v>
      </c>
      <c r="D1137" t="s">
        <v>1159</v>
      </c>
      <c r="E1137" t="s">
        <v>4</v>
      </c>
      <c r="F1137">
        <v>1.52</v>
      </c>
      <c r="H1137" t="s">
        <v>5</v>
      </c>
      <c r="I1137" s="1">
        <v>40.5</v>
      </c>
      <c r="J1137" s="1">
        <v>39.83</v>
      </c>
      <c r="K1137" t="s">
        <v>6</v>
      </c>
    </row>
    <row r="1138" spans="1:12">
      <c r="A1138" t="s">
        <v>957</v>
      </c>
      <c r="B1138">
        <v>537807</v>
      </c>
      <c r="C1138" s="2" t="str">
        <f>"T3804"</f>
        <v>T3804</v>
      </c>
      <c r="D1138" t="s">
        <v>1160</v>
      </c>
      <c r="E1138" t="s">
        <v>4</v>
      </c>
      <c r="F1138">
        <v>3.23</v>
      </c>
      <c r="H1138" t="s">
        <v>5</v>
      </c>
      <c r="I1138" s="1">
        <v>47.75</v>
      </c>
      <c r="J1138" s="1">
        <v>46.96</v>
      </c>
      <c r="K1138" t="s">
        <v>6</v>
      </c>
    </row>
    <row r="1139" spans="1:12">
      <c r="A1139" t="s">
        <v>957</v>
      </c>
      <c r="B1139">
        <v>537808</v>
      </c>
      <c r="C1139" s="2" t="str">
        <f>"T3806"</f>
        <v>T3806</v>
      </c>
      <c r="D1139" t="s">
        <v>1161</v>
      </c>
      <c r="E1139" t="s">
        <v>4</v>
      </c>
      <c r="F1139">
        <v>1.17</v>
      </c>
      <c r="H1139" t="s">
        <v>5</v>
      </c>
      <c r="I1139" s="1">
        <v>33.25</v>
      </c>
      <c r="J1139" s="1">
        <v>32.700000000000003</v>
      </c>
      <c r="K1139" t="s">
        <v>6</v>
      </c>
    </row>
    <row r="1140" spans="1:12">
      <c r="A1140" t="s">
        <v>1162</v>
      </c>
      <c r="B1140">
        <v>397501</v>
      </c>
      <c r="C1140" s="2" t="str">
        <f>"020230"</f>
        <v>020230</v>
      </c>
      <c r="D1140" t="s">
        <v>1163</v>
      </c>
      <c r="E1140" t="s">
        <v>4</v>
      </c>
      <c r="F1140">
        <v>1.32</v>
      </c>
      <c r="G1140">
        <v>0.11</v>
      </c>
      <c r="H1140" t="s">
        <v>106</v>
      </c>
      <c r="I1140" s="1">
        <v>1.01</v>
      </c>
      <c r="J1140" s="1">
        <v>0.99</v>
      </c>
      <c r="K1140" t="s">
        <v>457</v>
      </c>
      <c r="L1140" s="1">
        <v>1.0900000000000001</v>
      </c>
    </row>
    <row r="1141" spans="1:12">
      <c r="A1141" t="s">
        <v>1162</v>
      </c>
      <c r="B1141">
        <v>380662</v>
      </c>
      <c r="C1141" s="2" t="str">
        <f>"029503"</f>
        <v>029503</v>
      </c>
      <c r="D1141" t="s">
        <v>1164</v>
      </c>
      <c r="E1141" t="s">
        <v>4</v>
      </c>
      <c r="F1141">
        <v>0.96</v>
      </c>
      <c r="G1141">
        <v>0.08</v>
      </c>
      <c r="H1141" t="s">
        <v>106</v>
      </c>
      <c r="I1141" s="1">
        <v>1.94</v>
      </c>
      <c r="J1141" s="1">
        <v>1.89</v>
      </c>
      <c r="K1141" t="s">
        <v>457</v>
      </c>
      <c r="L1141" s="1">
        <v>2.0699999999999998</v>
      </c>
    </row>
    <row r="1142" spans="1:12">
      <c r="A1142" t="s">
        <v>1162</v>
      </c>
      <c r="B1142">
        <v>380663</v>
      </c>
      <c r="C1142" s="2" t="str">
        <f>"029506"</f>
        <v>029506</v>
      </c>
      <c r="D1142" t="s">
        <v>1165</v>
      </c>
      <c r="E1142" t="s">
        <v>4</v>
      </c>
      <c r="F1142">
        <v>0.96</v>
      </c>
      <c r="G1142">
        <v>0.08</v>
      </c>
      <c r="H1142" t="s">
        <v>106</v>
      </c>
      <c r="I1142" s="1">
        <v>1.94</v>
      </c>
      <c r="J1142" s="1">
        <v>1.89</v>
      </c>
      <c r="K1142" t="s">
        <v>457</v>
      </c>
      <c r="L1142" s="1">
        <v>2.0699999999999998</v>
      </c>
    </row>
    <row r="1143" spans="1:12">
      <c r="A1143" t="s">
        <v>1162</v>
      </c>
      <c r="B1143">
        <v>397519</v>
      </c>
      <c r="C1143" s="2" t="str">
        <f>"030101"</f>
        <v>030101</v>
      </c>
      <c r="D1143" t="s">
        <v>1166</v>
      </c>
      <c r="E1143" t="s">
        <v>4</v>
      </c>
      <c r="F1143">
        <v>7.32</v>
      </c>
      <c r="G1143">
        <v>0.61</v>
      </c>
      <c r="H1143" t="s">
        <v>106</v>
      </c>
      <c r="I1143" s="1">
        <v>6.47</v>
      </c>
      <c r="J1143" s="1">
        <v>6.31</v>
      </c>
      <c r="K1143" t="s">
        <v>457</v>
      </c>
      <c r="L1143" s="1">
        <v>6.94</v>
      </c>
    </row>
    <row r="1144" spans="1:12">
      <c r="A1144" t="s">
        <v>1162</v>
      </c>
      <c r="B1144">
        <v>397521</v>
      </c>
      <c r="C1144" s="2" t="str">
        <f>"030106"</f>
        <v>030106</v>
      </c>
      <c r="D1144" t="s">
        <v>1167</v>
      </c>
      <c r="E1144" t="s">
        <v>4</v>
      </c>
      <c r="F1144">
        <v>7.32</v>
      </c>
      <c r="G1144">
        <v>0.61</v>
      </c>
      <c r="H1144" t="s">
        <v>106</v>
      </c>
      <c r="I1144" s="1">
        <v>6.47</v>
      </c>
      <c r="J1144" s="1">
        <v>6.31</v>
      </c>
      <c r="K1144" t="s">
        <v>457</v>
      </c>
      <c r="L1144" s="1">
        <v>6.94</v>
      </c>
    </row>
    <row r="1145" spans="1:12">
      <c r="A1145" t="s">
        <v>1162</v>
      </c>
      <c r="B1145">
        <v>397522</v>
      </c>
      <c r="C1145" s="2" t="str">
        <f>"030201"</f>
        <v>030201</v>
      </c>
      <c r="D1145" t="s">
        <v>1168</v>
      </c>
      <c r="E1145" t="s">
        <v>4</v>
      </c>
      <c r="F1145">
        <v>7.08</v>
      </c>
      <c r="G1145">
        <v>1.18</v>
      </c>
      <c r="H1145" t="s">
        <v>20</v>
      </c>
      <c r="I1145" s="1">
        <v>11.12</v>
      </c>
      <c r="J1145" s="1">
        <v>10.83</v>
      </c>
      <c r="K1145" t="s">
        <v>457</v>
      </c>
      <c r="L1145" s="1">
        <v>11.91</v>
      </c>
    </row>
    <row r="1146" spans="1:12">
      <c r="A1146" t="s">
        <v>1162</v>
      </c>
      <c r="B1146">
        <v>397523</v>
      </c>
      <c r="C1146" s="2" t="str">
        <f>"030206"</f>
        <v>030206</v>
      </c>
      <c r="D1146" t="s">
        <v>1169</v>
      </c>
      <c r="E1146" t="s">
        <v>4</v>
      </c>
      <c r="F1146">
        <v>7.08</v>
      </c>
      <c r="G1146">
        <v>1.18</v>
      </c>
      <c r="H1146" t="s">
        <v>20</v>
      </c>
      <c r="I1146" s="1">
        <v>11.12</v>
      </c>
      <c r="J1146" s="1">
        <v>10.83</v>
      </c>
      <c r="K1146" t="s">
        <v>457</v>
      </c>
      <c r="L1146" s="1">
        <v>11.91</v>
      </c>
    </row>
    <row r="1147" spans="1:12">
      <c r="A1147" t="s">
        <v>1162</v>
      </c>
      <c r="B1147">
        <v>473606</v>
      </c>
      <c r="C1147" s="2" t="str">
        <f>"031130"</f>
        <v>031130</v>
      </c>
      <c r="D1147" t="s">
        <v>1170</v>
      </c>
      <c r="E1147" t="s">
        <v>4</v>
      </c>
      <c r="F1147">
        <v>0.72</v>
      </c>
      <c r="G1147">
        <v>0.06</v>
      </c>
      <c r="H1147" t="s">
        <v>106</v>
      </c>
      <c r="I1147" s="1">
        <v>0.62</v>
      </c>
      <c r="J1147" s="1">
        <v>0.61</v>
      </c>
      <c r="K1147" t="s">
        <v>21</v>
      </c>
      <c r="L1147" s="1">
        <v>0.67</v>
      </c>
    </row>
    <row r="1148" spans="1:12">
      <c r="A1148" t="s">
        <v>1162</v>
      </c>
      <c r="B1148">
        <v>397257</v>
      </c>
      <c r="C1148" s="2" t="str">
        <f>"031606"</f>
        <v>031606</v>
      </c>
      <c r="D1148" t="s">
        <v>1171</v>
      </c>
      <c r="E1148" t="s">
        <v>4</v>
      </c>
      <c r="F1148">
        <v>36</v>
      </c>
      <c r="G1148">
        <v>6</v>
      </c>
      <c r="H1148" t="s">
        <v>20</v>
      </c>
      <c r="I1148" s="1">
        <v>10.32</v>
      </c>
      <c r="J1148" s="1">
        <v>10.050000000000001</v>
      </c>
      <c r="K1148" t="s">
        <v>457</v>
      </c>
      <c r="L1148" s="1">
        <v>11.05</v>
      </c>
    </row>
    <row r="1149" spans="1:12">
      <c r="A1149" t="s">
        <v>1162</v>
      </c>
      <c r="B1149">
        <v>380631</v>
      </c>
      <c r="C1149" s="2" t="str">
        <f>"034101"</f>
        <v>034101</v>
      </c>
      <c r="D1149" t="s">
        <v>1172</v>
      </c>
      <c r="E1149" t="s">
        <v>4</v>
      </c>
      <c r="F1149">
        <v>6.24</v>
      </c>
      <c r="G1149">
        <v>0.52</v>
      </c>
      <c r="H1149" t="s">
        <v>106</v>
      </c>
      <c r="I1149" s="1">
        <v>5.36</v>
      </c>
      <c r="J1149" s="1">
        <v>5.21</v>
      </c>
      <c r="K1149" t="s">
        <v>457</v>
      </c>
      <c r="L1149" s="1">
        <v>5.73</v>
      </c>
    </row>
    <row r="1150" spans="1:12">
      <c r="A1150" t="s">
        <v>1162</v>
      </c>
      <c r="B1150">
        <v>380629</v>
      </c>
      <c r="C1150" s="2" t="str">
        <f>"034103"</f>
        <v>034103</v>
      </c>
      <c r="D1150" t="s">
        <v>1173</v>
      </c>
      <c r="E1150" t="s">
        <v>4</v>
      </c>
      <c r="F1150">
        <v>6.24</v>
      </c>
      <c r="G1150">
        <v>0.52</v>
      </c>
      <c r="H1150" t="s">
        <v>106</v>
      </c>
      <c r="I1150" s="1">
        <v>5.36</v>
      </c>
      <c r="J1150" s="1">
        <v>5.21</v>
      </c>
      <c r="K1150" t="s">
        <v>457</v>
      </c>
      <c r="L1150" s="1">
        <v>5.73</v>
      </c>
    </row>
    <row r="1151" spans="1:12">
      <c r="A1151" t="s">
        <v>1162</v>
      </c>
      <c r="B1151">
        <v>380630</v>
      </c>
      <c r="C1151" s="2" t="str">
        <f>"034106"</f>
        <v>034106</v>
      </c>
      <c r="D1151" t="s">
        <v>1174</v>
      </c>
      <c r="E1151" t="s">
        <v>4</v>
      </c>
      <c r="F1151">
        <v>6.24</v>
      </c>
      <c r="G1151">
        <v>0.52</v>
      </c>
      <c r="H1151" t="s">
        <v>106</v>
      </c>
      <c r="I1151" s="1">
        <v>5.36</v>
      </c>
      <c r="J1151" s="1">
        <v>5.21</v>
      </c>
      <c r="K1151" t="s">
        <v>457</v>
      </c>
      <c r="L1151" s="1">
        <v>5.73</v>
      </c>
    </row>
    <row r="1152" spans="1:12">
      <c r="A1152" t="s">
        <v>1162</v>
      </c>
      <c r="B1152">
        <v>380637</v>
      </c>
      <c r="C1152" s="2" t="str">
        <f>"034201"</f>
        <v>034201</v>
      </c>
      <c r="D1152" t="s">
        <v>1175</v>
      </c>
      <c r="E1152" t="s">
        <v>4</v>
      </c>
      <c r="F1152">
        <v>5.4</v>
      </c>
      <c r="G1152">
        <v>0.9</v>
      </c>
      <c r="H1152" t="s">
        <v>20</v>
      </c>
      <c r="I1152" s="1">
        <v>8.57</v>
      </c>
      <c r="J1152" s="1">
        <v>8.33</v>
      </c>
      <c r="K1152" t="s">
        <v>457</v>
      </c>
      <c r="L1152" s="1">
        <v>9.17</v>
      </c>
    </row>
    <row r="1153" spans="1:12">
      <c r="A1153" t="s">
        <v>1162</v>
      </c>
      <c r="B1153">
        <v>380635</v>
      </c>
      <c r="C1153" s="2" t="str">
        <f>"034203"</f>
        <v>034203</v>
      </c>
      <c r="D1153" t="s">
        <v>1176</v>
      </c>
      <c r="E1153" t="s">
        <v>4</v>
      </c>
      <c r="F1153">
        <v>5.4</v>
      </c>
      <c r="G1153">
        <v>0.9</v>
      </c>
      <c r="H1153" t="s">
        <v>20</v>
      </c>
      <c r="I1153" s="1">
        <v>8.57</v>
      </c>
      <c r="J1153" s="1">
        <v>8.33</v>
      </c>
      <c r="K1153" t="s">
        <v>457</v>
      </c>
      <c r="L1153" s="1">
        <v>9.17</v>
      </c>
    </row>
    <row r="1154" spans="1:12">
      <c r="A1154" t="s">
        <v>1162</v>
      </c>
      <c r="B1154">
        <v>380636</v>
      </c>
      <c r="C1154" s="2" t="str">
        <f>"034206"</f>
        <v>034206</v>
      </c>
      <c r="D1154" t="s">
        <v>1177</v>
      </c>
      <c r="E1154" t="s">
        <v>4</v>
      </c>
      <c r="F1154">
        <v>5.4</v>
      </c>
      <c r="G1154">
        <v>0.9</v>
      </c>
      <c r="H1154" t="s">
        <v>20</v>
      </c>
      <c r="I1154" s="1">
        <v>8.57</v>
      </c>
      <c r="J1154" s="1">
        <v>8.33</v>
      </c>
      <c r="K1154" t="s">
        <v>457</v>
      </c>
      <c r="L1154" s="1">
        <v>9.17</v>
      </c>
    </row>
    <row r="1155" spans="1:12">
      <c r="A1155" t="s">
        <v>1162</v>
      </c>
      <c r="B1155">
        <v>380634</v>
      </c>
      <c r="C1155" s="2" t="str">
        <f>"034301"</f>
        <v>034301</v>
      </c>
      <c r="D1155" t="s">
        <v>1178</v>
      </c>
      <c r="E1155" t="s">
        <v>4</v>
      </c>
      <c r="F1155">
        <v>4.08</v>
      </c>
      <c r="G1155">
        <v>0.68</v>
      </c>
      <c r="H1155" t="s">
        <v>20</v>
      </c>
      <c r="I1155" s="1">
        <v>7.22</v>
      </c>
      <c r="J1155" s="1">
        <v>7.03</v>
      </c>
      <c r="K1155" t="s">
        <v>457</v>
      </c>
      <c r="L1155" s="1">
        <v>7.74</v>
      </c>
    </row>
    <row r="1156" spans="1:12">
      <c r="A1156" t="s">
        <v>1162</v>
      </c>
      <c r="B1156">
        <v>380632</v>
      </c>
      <c r="C1156" s="2" t="str">
        <f>"034303"</f>
        <v>034303</v>
      </c>
      <c r="D1156" t="s">
        <v>1179</v>
      </c>
      <c r="E1156" t="s">
        <v>4</v>
      </c>
      <c r="F1156">
        <v>4.08</v>
      </c>
      <c r="G1156">
        <v>0.68</v>
      </c>
      <c r="H1156" t="s">
        <v>20</v>
      </c>
      <c r="I1156" s="1">
        <v>7.22</v>
      </c>
      <c r="J1156" s="1">
        <v>7.03</v>
      </c>
      <c r="K1156" t="s">
        <v>457</v>
      </c>
      <c r="L1156" s="1">
        <v>7.74</v>
      </c>
    </row>
    <row r="1157" spans="1:12">
      <c r="A1157" t="s">
        <v>1162</v>
      </c>
      <c r="B1157">
        <v>380633</v>
      </c>
      <c r="C1157" s="2" t="str">
        <f>"034306"</f>
        <v>034306</v>
      </c>
      <c r="D1157" t="s">
        <v>1180</v>
      </c>
      <c r="E1157" t="s">
        <v>4</v>
      </c>
      <c r="F1157">
        <v>4.08</v>
      </c>
      <c r="G1157">
        <v>0.68</v>
      </c>
      <c r="H1157" t="s">
        <v>20</v>
      </c>
      <c r="I1157" s="1">
        <v>7.22</v>
      </c>
      <c r="J1157" s="1">
        <v>7.03</v>
      </c>
      <c r="K1157" t="s">
        <v>457</v>
      </c>
      <c r="L1157" s="1">
        <v>7.74</v>
      </c>
    </row>
    <row r="1158" spans="1:12">
      <c r="A1158" t="s">
        <v>1162</v>
      </c>
      <c r="B1158">
        <v>380712</v>
      </c>
      <c r="C1158" s="2" t="str">
        <f>"084502"</f>
        <v>084502</v>
      </c>
      <c r="D1158" t="s">
        <v>1181</v>
      </c>
      <c r="E1158" t="s">
        <v>4</v>
      </c>
      <c r="F1158">
        <v>5.3</v>
      </c>
      <c r="H1158" t="s">
        <v>5</v>
      </c>
      <c r="I1158" s="1">
        <v>113.82</v>
      </c>
      <c r="J1158" s="1">
        <v>110.83</v>
      </c>
      <c r="K1158" t="s">
        <v>6</v>
      </c>
    </row>
    <row r="1159" spans="1:12">
      <c r="A1159" t="s">
        <v>1162</v>
      </c>
      <c r="B1159">
        <v>380722</v>
      </c>
      <c r="C1159" s="2" t="str">
        <f>"085202"</f>
        <v>085202</v>
      </c>
      <c r="D1159" t="s">
        <v>1182</v>
      </c>
      <c r="E1159" t="s">
        <v>4</v>
      </c>
      <c r="F1159">
        <v>10.7</v>
      </c>
      <c r="H1159" t="s">
        <v>5</v>
      </c>
      <c r="I1159" s="1">
        <v>97.81</v>
      </c>
      <c r="J1159" s="1">
        <v>95.24</v>
      </c>
      <c r="K1159" t="s">
        <v>6</v>
      </c>
    </row>
    <row r="1160" spans="1:12">
      <c r="A1160" t="s">
        <v>1162</v>
      </c>
      <c r="B1160">
        <v>380777</v>
      </c>
      <c r="C1160" s="2" t="str">
        <f>"1060101"</f>
        <v>1060101</v>
      </c>
      <c r="D1160" t="s">
        <v>1183</v>
      </c>
      <c r="E1160" t="s">
        <v>4</v>
      </c>
      <c r="F1160">
        <v>9.7200000000000006</v>
      </c>
      <c r="G1160">
        <v>1.62</v>
      </c>
      <c r="H1160" t="s">
        <v>20</v>
      </c>
      <c r="I1160" s="1">
        <v>33.92</v>
      </c>
      <c r="J1160" s="1">
        <v>33.03</v>
      </c>
      <c r="K1160" t="s">
        <v>457</v>
      </c>
      <c r="L1160" s="1">
        <v>36.340000000000003</v>
      </c>
    </row>
    <row r="1161" spans="1:12">
      <c r="A1161" t="s">
        <v>1162</v>
      </c>
      <c r="B1161">
        <v>380741</v>
      </c>
      <c r="C1161" s="2" t="str">
        <f>"1085003"</f>
        <v>1085003</v>
      </c>
      <c r="D1161" t="s">
        <v>1184</v>
      </c>
      <c r="E1161" t="s">
        <v>4</v>
      </c>
      <c r="F1161">
        <v>6.3</v>
      </c>
      <c r="H1161" t="s">
        <v>5</v>
      </c>
      <c r="I1161" s="1">
        <v>71.099999999999994</v>
      </c>
      <c r="J1161" s="1">
        <v>69.23</v>
      </c>
      <c r="K1161" t="s">
        <v>6</v>
      </c>
    </row>
    <row r="1162" spans="1:12">
      <c r="A1162" t="s">
        <v>1162</v>
      </c>
      <c r="B1162">
        <v>397499</v>
      </c>
      <c r="C1162" s="2" t="str">
        <f>"110507"</f>
        <v>110507</v>
      </c>
      <c r="D1162" t="s">
        <v>1185</v>
      </c>
      <c r="E1162" t="s">
        <v>4</v>
      </c>
      <c r="F1162">
        <v>10.1</v>
      </c>
      <c r="H1162" t="s">
        <v>5</v>
      </c>
      <c r="I1162" s="1">
        <v>100.48</v>
      </c>
      <c r="J1162" s="1">
        <v>97.84</v>
      </c>
      <c r="K1162" t="s">
        <v>6</v>
      </c>
    </row>
    <row r="1163" spans="1:12">
      <c r="A1163" t="s">
        <v>1162</v>
      </c>
      <c r="B1163">
        <v>384036</v>
      </c>
      <c r="C1163" s="2" t="str">
        <f>"110807"</f>
        <v>110807</v>
      </c>
      <c r="D1163" t="s">
        <v>1186</v>
      </c>
      <c r="E1163" t="s">
        <v>4</v>
      </c>
      <c r="F1163">
        <v>8.15</v>
      </c>
      <c r="H1163" t="s">
        <v>5</v>
      </c>
      <c r="I1163" s="1">
        <v>63.13</v>
      </c>
      <c r="J1163" s="1">
        <v>61.48</v>
      </c>
      <c r="K1163" t="s">
        <v>6</v>
      </c>
    </row>
    <row r="1164" spans="1:12">
      <c r="A1164" t="s">
        <v>1162</v>
      </c>
      <c r="B1164">
        <v>397487</v>
      </c>
      <c r="C1164" s="2" t="str">
        <f>"111007"</f>
        <v>111007</v>
      </c>
      <c r="D1164" t="s">
        <v>1187</v>
      </c>
      <c r="E1164" t="s">
        <v>4</v>
      </c>
      <c r="F1164">
        <v>8</v>
      </c>
      <c r="H1164" t="s">
        <v>5</v>
      </c>
      <c r="I1164" s="1">
        <v>69.36</v>
      </c>
      <c r="J1164" s="1">
        <v>67.540000000000006</v>
      </c>
      <c r="K1164" t="s">
        <v>6</v>
      </c>
    </row>
    <row r="1165" spans="1:12">
      <c r="A1165" t="s">
        <v>1162</v>
      </c>
      <c r="B1165">
        <v>397490</v>
      </c>
      <c r="C1165" s="2" t="str">
        <f>"111207"</f>
        <v>111207</v>
      </c>
      <c r="D1165" t="s">
        <v>1188</v>
      </c>
      <c r="E1165" t="s">
        <v>4</v>
      </c>
      <c r="F1165">
        <v>10</v>
      </c>
      <c r="H1165" t="s">
        <v>5</v>
      </c>
      <c r="I1165" s="1">
        <v>80.03</v>
      </c>
      <c r="J1165" s="1">
        <v>77.92</v>
      </c>
      <c r="K1165" t="s">
        <v>6</v>
      </c>
    </row>
    <row r="1166" spans="1:12">
      <c r="A1166" t="s">
        <v>1162</v>
      </c>
      <c r="B1166">
        <v>380670</v>
      </c>
      <c r="C1166" s="2" t="str">
        <f>"129503"</f>
        <v>129503</v>
      </c>
      <c r="D1166" t="s">
        <v>1189</v>
      </c>
      <c r="E1166" t="s">
        <v>4</v>
      </c>
      <c r="F1166">
        <v>0.96</v>
      </c>
      <c r="G1166">
        <v>0.08</v>
      </c>
      <c r="H1166" t="s">
        <v>106</v>
      </c>
      <c r="I1166" s="1">
        <v>2.42</v>
      </c>
      <c r="J1166" s="1">
        <v>2.35</v>
      </c>
      <c r="K1166" t="s">
        <v>457</v>
      </c>
      <c r="L1166" s="1">
        <v>2.59</v>
      </c>
    </row>
    <row r="1167" spans="1:12">
      <c r="A1167" t="s">
        <v>1162</v>
      </c>
      <c r="B1167">
        <v>380672</v>
      </c>
      <c r="C1167" s="2" t="str">
        <f>"129506"</f>
        <v>129506</v>
      </c>
      <c r="D1167" t="s">
        <v>1190</v>
      </c>
      <c r="E1167" t="s">
        <v>4</v>
      </c>
      <c r="F1167">
        <v>0.96</v>
      </c>
      <c r="G1167">
        <v>0.08</v>
      </c>
      <c r="H1167" t="s">
        <v>106</v>
      </c>
      <c r="I1167" s="1">
        <v>2.42</v>
      </c>
      <c r="J1167" s="1">
        <v>2.35</v>
      </c>
      <c r="K1167" t="s">
        <v>457</v>
      </c>
      <c r="L1167" s="1">
        <v>2.59</v>
      </c>
    </row>
    <row r="1168" spans="1:12">
      <c r="A1168" t="s">
        <v>1162</v>
      </c>
      <c r="B1168">
        <v>431605</v>
      </c>
      <c r="C1168" s="2" t="str">
        <f>"1400GL004"</f>
        <v>1400GL004</v>
      </c>
      <c r="D1168" t="s">
        <v>1191</v>
      </c>
      <c r="E1168" t="s">
        <v>4</v>
      </c>
      <c r="F1168">
        <v>12.96</v>
      </c>
      <c r="G1168">
        <v>1.08</v>
      </c>
      <c r="H1168" t="s">
        <v>106</v>
      </c>
      <c r="I1168" s="1">
        <v>6.98</v>
      </c>
      <c r="J1168" s="1">
        <v>6.8</v>
      </c>
      <c r="K1168" t="s">
        <v>457</v>
      </c>
      <c r="L1168" s="1">
        <v>7.48</v>
      </c>
    </row>
    <row r="1169" spans="1:12">
      <c r="A1169" t="s">
        <v>1162</v>
      </c>
      <c r="B1169">
        <v>431606</v>
      </c>
      <c r="C1169" s="2" t="str">
        <f>"1600GL004"</f>
        <v>1600GL004</v>
      </c>
      <c r="D1169" t="s">
        <v>1192</v>
      </c>
      <c r="E1169" t="s">
        <v>4</v>
      </c>
      <c r="F1169">
        <v>20.04</v>
      </c>
      <c r="G1169">
        <v>1.67</v>
      </c>
      <c r="H1169" t="s">
        <v>106</v>
      </c>
      <c r="I1169" s="1">
        <v>11.83</v>
      </c>
      <c r="J1169" s="1">
        <v>11.52</v>
      </c>
      <c r="K1169" t="s">
        <v>457</v>
      </c>
      <c r="L1169" s="1">
        <v>12.67</v>
      </c>
    </row>
    <row r="1170" spans="1:12">
      <c r="A1170" t="s">
        <v>1162</v>
      </c>
      <c r="B1170">
        <v>380740</v>
      </c>
      <c r="C1170" s="2" t="str">
        <f>"222903"</f>
        <v>222903</v>
      </c>
      <c r="D1170" t="s">
        <v>1193</v>
      </c>
      <c r="E1170" t="s">
        <v>4</v>
      </c>
      <c r="F1170">
        <v>4.7</v>
      </c>
      <c r="H1170" t="s">
        <v>5</v>
      </c>
      <c r="I1170" s="1">
        <v>66.69</v>
      </c>
      <c r="J1170" s="1">
        <v>64.94</v>
      </c>
      <c r="K1170" t="s">
        <v>6</v>
      </c>
    </row>
    <row r="1171" spans="1:12">
      <c r="A1171" t="s">
        <v>1162</v>
      </c>
      <c r="B1171">
        <v>380664</v>
      </c>
      <c r="C1171" s="2" t="str">
        <f>"229503"</f>
        <v>229503</v>
      </c>
      <c r="D1171" t="s">
        <v>1194</v>
      </c>
      <c r="E1171" t="s">
        <v>4</v>
      </c>
      <c r="F1171">
        <v>0.96</v>
      </c>
      <c r="G1171">
        <v>0.08</v>
      </c>
      <c r="H1171" t="s">
        <v>106</v>
      </c>
      <c r="I1171" s="1">
        <v>2.42</v>
      </c>
      <c r="J1171" s="1">
        <v>2.35</v>
      </c>
      <c r="K1171" t="s">
        <v>457</v>
      </c>
      <c r="L1171" s="1">
        <v>2.59</v>
      </c>
    </row>
    <row r="1172" spans="1:12">
      <c r="A1172" t="s">
        <v>1162</v>
      </c>
      <c r="B1172">
        <v>380665</v>
      </c>
      <c r="C1172" s="2" t="str">
        <f>"229506"</f>
        <v>229506</v>
      </c>
      <c r="D1172" t="s">
        <v>1195</v>
      </c>
      <c r="E1172" t="s">
        <v>4</v>
      </c>
      <c r="F1172">
        <v>0.96</v>
      </c>
      <c r="G1172">
        <v>0.08</v>
      </c>
      <c r="H1172" t="s">
        <v>106</v>
      </c>
      <c r="I1172" s="1">
        <v>2.42</v>
      </c>
      <c r="J1172" s="1">
        <v>2.35</v>
      </c>
      <c r="K1172" t="s">
        <v>457</v>
      </c>
      <c r="L1172" s="1">
        <v>2.59</v>
      </c>
    </row>
    <row r="1173" spans="1:12">
      <c r="A1173" t="s">
        <v>1162</v>
      </c>
      <c r="B1173">
        <v>380768</v>
      </c>
      <c r="C1173" s="2" t="str">
        <f>"251207"</f>
        <v>251207</v>
      </c>
      <c r="D1173" t="s">
        <v>1196</v>
      </c>
      <c r="E1173" t="s">
        <v>4</v>
      </c>
      <c r="F1173">
        <v>9.9600000000000009</v>
      </c>
      <c r="G1173">
        <v>1.66</v>
      </c>
      <c r="H1173" t="s">
        <v>20</v>
      </c>
      <c r="I1173" s="1">
        <v>17.600000000000001</v>
      </c>
      <c r="J1173" s="1">
        <v>17.149999999999999</v>
      </c>
      <c r="K1173" t="s">
        <v>457</v>
      </c>
      <c r="L1173" s="1">
        <v>18.86</v>
      </c>
    </row>
    <row r="1174" spans="1:12">
      <c r="A1174" t="s">
        <v>1162</v>
      </c>
      <c r="B1174">
        <v>421541</v>
      </c>
      <c r="C1174" s="2" t="str">
        <f>"321003"</f>
        <v>321003</v>
      </c>
      <c r="D1174" t="s">
        <v>1197</v>
      </c>
      <c r="E1174" t="s">
        <v>4</v>
      </c>
      <c r="F1174">
        <v>9.5</v>
      </c>
      <c r="H1174" t="s">
        <v>5</v>
      </c>
      <c r="I1174" s="1">
        <v>48.36</v>
      </c>
      <c r="J1174" s="1">
        <v>47.09</v>
      </c>
      <c r="K1174" t="s">
        <v>6</v>
      </c>
    </row>
    <row r="1175" spans="1:12">
      <c r="A1175" t="s">
        <v>1162</v>
      </c>
      <c r="B1175">
        <v>380666</v>
      </c>
      <c r="C1175" s="2" t="str">
        <f>"329503"</f>
        <v>329503</v>
      </c>
      <c r="D1175" t="s">
        <v>1198</v>
      </c>
      <c r="E1175" t="s">
        <v>4</v>
      </c>
      <c r="F1175">
        <v>0.96</v>
      </c>
      <c r="G1175">
        <v>0.08</v>
      </c>
      <c r="H1175" t="s">
        <v>106</v>
      </c>
      <c r="I1175" s="1">
        <v>2.42</v>
      </c>
      <c r="J1175" s="1">
        <v>2.35</v>
      </c>
      <c r="K1175" t="s">
        <v>457</v>
      </c>
      <c r="L1175" s="1">
        <v>2.59</v>
      </c>
    </row>
    <row r="1176" spans="1:12">
      <c r="A1176" t="s">
        <v>1162</v>
      </c>
      <c r="B1176">
        <v>380667</v>
      </c>
      <c r="C1176" s="2" t="str">
        <f>"329506"</f>
        <v>329506</v>
      </c>
      <c r="D1176" t="s">
        <v>1199</v>
      </c>
      <c r="E1176" t="s">
        <v>4</v>
      </c>
      <c r="F1176">
        <v>0.96</v>
      </c>
      <c r="G1176">
        <v>0.08</v>
      </c>
      <c r="H1176" t="s">
        <v>106</v>
      </c>
      <c r="I1176" s="1">
        <v>2.42</v>
      </c>
      <c r="J1176" s="1">
        <v>2.35</v>
      </c>
      <c r="K1176" t="s">
        <v>457</v>
      </c>
      <c r="L1176" s="1">
        <v>2.59</v>
      </c>
    </row>
    <row r="1177" spans="1:12">
      <c r="A1177" t="s">
        <v>1162</v>
      </c>
      <c r="B1177">
        <v>458166</v>
      </c>
      <c r="C1177" s="2" t="str">
        <f>"38240A"</f>
        <v>38240A</v>
      </c>
      <c r="D1177" t="s">
        <v>1200</v>
      </c>
      <c r="E1177" t="s">
        <v>4</v>
      </c>
      <c r="F1177">
        <v>12.9</v>
      </c>
      <c r="G1177">
        <v>4.3</v>
      </c>
      <c r="H1177" t="s">
        <v>189</v>
      </c>
      <c r="I1177" s="1">
        <v>19.28</v>
      </c>
      <c r="J1177" s="1">
        <v>18.77</v>
      </c>
      <c r="K1177" t="s">
        <v>21</v>
      </c>
      <c r="L1177" s="1">
        <v>20.65</v>
      </c>
    </row>
    <row r="1178" spans="1:12">
      <c r="A1178" t="s">
        <v>1162</v>
      </c>
      <c r="B1178">
        <v>458168</v>
      </c>
      <c r="C1178" s="2" t="str">
        <f>"38360A"</f>
        <v>38360A</v>
      </c>
      <c r="D1178" t="s">
        <v>1201</v>
      </c>
      <c r="E1178" t="s">
        <v>4</v>
      </c>
      <c r="F1178">
        <v>20.100000000000001</v>
      </c>
      <c r="G1178">
        <v>6.7</v>
      </c>
      <c r="H1178" t="s">
        <v>189</v>
      </c>
      <c r="I1178" s="1">
        <v>24.83</v>
      </c>
      <c r="J1178" s="1">
        <v>24.18</v>
      </c>
      <c r="K1178" t="s">
        <v>21</v>
      </c>
      <c r="L1178" s="1">
        <v>26.6</v>
      </c>
    </row>
    <row r="1179" spans="1:12">
      <c r="A1179" t="s">
        <v>1162</v>
      </c>
      <c r="B1179">
        <v>458172</v>
      </c>
      <c r="C1179" s="2" t="str">
        <f>"38480A"</f>
        <v>38480A</v>
      </c>
      <c r="D1179" t="s">
        <v>1202</v>
      </c>
      <c r="E1179" t="s">
        <v>4</v>
      </c>
      <c r="F1179">
        <v>26.4</v>
      </c>
      <c r="G1179">
        <v>8.8000000000000007</v>
      </c>
      <c r="H1179" t="s">
        <v>189</v>
      </c>
      <c r="I1179" s="1">
        <v>32.21</v>
      </c>
      <c r="J1179" s="1">
        <v>31.36</v>
      </c>
      <c r="K1179" t="s">
        <v>21</v>
      </c>
      <c r="L1179" s="1">
        <v>34.49</v>
      </c>
    </row>
    <row r="1180" spans="1:12">
      <c r="A1180" t="s">
        <v>1162</v>
      </c>
      <c r="B1180">
        <v>397466</v>
      </c>
      <c r="C1180" s="2" t="str">
        <f>"4000002"</f>
        <v>4000002</v>
      </c>
      <c r="D1180" t="s">
        <v>1203</v>
      </c>
      <c r="E1180" t="s">
        <v>4</v>
      </c>
      <c r="F1180">
        <v>3.48</v>
      </c>
      <c r="G1180">
        <v>0.28999999999999998</v>
      </c>
      <c r="H1180" t="s">
        <v>106</v>
      </c>
      <c r="I1180" s="1">
        <v>8.59</v>
      </c>
      <c r="J1180" s="1">
        <v>8.36</v>
      </c>
      <c r="K1180" t="s">
        <v>457</v>
      </c>
      <c r="L1180" s="1">
        <v>9.19</v>
      </c>
    </row>
    <row r="1181" spans="1:12">
      <c r="A1181" t="s">
        <v>1162</v>
      </c>
      <c r="B1181">
        <v>397400</v>
      </c>
      <c r="C1181" s="2" t="str">
        <f>"4002000"</f>
        <v>4002000</v>
      </c>
      <c r="D1181" t="s">
        <v>1204</v>
      </c>
      <c r="E1181" t="s">
        <v>4</v>
      </c>
      <c r="F1181">
        <v>4.32</v>
      </c>
      <c r="G1181">
        <v>0.36</v>
      </c>
      <c r="H1181" t="s">
        <v>106</v>
      </c>
      <c r="I1181" s="1">
        <v>6.9</v>
      </c>
      <c r="J1181" s="1">
        <v>6.72</v>
      </c>
      <c r="K1181" t="s">
        <v>457</v>
      </c>
      <c r="L1181" s="1">
        <v>7.39</v>
      </c>
    </row>
    <row r="1182" spans="1:12">
      <c r="A1182" t="s">
        <v>1162</v>
      </c>
      <c r="B1182">
        <v>380844</v>
      </c>
      <c r="C1182" s="2" t="str">
        <f>"4002500"</f>
        <v>4002500</v>
      </c>
      <c r="D1182" t="s">
        <v>1205</v>
      </c>
      <c r="E1182" t="s">
        <v>4</v>
      </c>
      <c r="F1182">
        <v>3.66</v>
      </c>
      <c r="G1182">
        <v>0.61</v>
      </c>
      <c r="H1182" t="s">
        <v>20</v>
      </c>
      <c r="I1182" s="1">
        <v>9.93</v>
      </c>
      <c r="J1182" s="1">
        <v>9.67</v>
      </c>
      <c r="K1182" t="s">
        <v>457</v>
      </c>
      <c r="L1182" s="1">
        <v>10.64</v>
      </c>
    </row>
    <row r="1183" spans="1:12">
      <c r="A1183" t="s">
        <v>1162</v>
      </c>
      <c r="B1183">
        <v>397456</v>
      </c>
      <c r="C1183" s="2" t="str">
        <f>"400607"</f>
        <v>400607</v>
      </c>
      <c r="D1183" t="s">
        <v>1206</v>
      </c>
      <c r="E1183" t="s">
        <v>4</v>
      </c>
      <c r="F1183">
        <v>1.08</v>
      </c>
      <c r="G1183">
        <v>0.09</v>
      </c>
      <c r="H1183" t="s">
        <v>106</v>
      </c>
      <c r="I1183" s="1">
        <v>1.5</v>
      </c>
      <c r="J1183" s="1">
        <v>1.46</v>
      </c>
      <c r="K1183" t="s">
        <v>457</v>
      </c>
      <c r="L1183" s="1">
        <v>1.6</v>
      </c>
    </row>
    <row r="1184" spans="1:12">
      <c r="A1184" t="s">
        <v>1162</v>
      </c>
      <c r="B1184">
        <v>397427</v>
      </c>
      <c r="C1184" s="2" t="str">
        <f>"4007000"</f>
        <v>4007000</v>
      </c>
      <c r="D1184" t="s">
        <v>1207</v>
      </c>
      <c r="E1184" t="s">
        <v>4</v>
      </c>
      <c r="F1184">
        <v>9.48</v>
      </c>
      <c r="G1184">
        <v>0.79</v>
      </c>
      <c r="H1184" t="s">
        <v>106</v>
      </c>
      <c r="I1184" s="1">
        <v>11.71</v>
      </c>
      <c r="J1184" s="1">
        <v>11.4</v>
      </c>
      <c r="K1184" t="s">
        <v>457</v>
      </c>
      <c r="L1184" s="1">
        <v>12.54</v>
      </c>
    </row>
    <row r="1185" spans="1:12">
      <c r="A1185" t="s">
        <v>1162</v>
      </c>
      <c r="B1185">
        <v>380842</v>
      </c>
      <c r="C1185" s="2" t="str">
        <f>"4011100"</f>
        <v>4011100</v>
      </c>
      <c r="D1185" t="s">
        <v>1208</v>
      </c>
      <c r="E1185" t="s">
        <v>4</v>
      </c>
      <c r="F1185">
        <v>5.4</v>
      </c>
      <c r="G1185">
        <v>0.45</v>
      </c>
      <c r="H1185" t="s">
        <v>106</v>
      </c>
      <c r="I1185" s="1">
        <v>26.56</v>
      </c>
      <c r="J1185" s="1">
        <v>25.87</v>
      </c>
      <c r="K1185" t="s">
        <v>457</v>
      </c>
      <c r="L1185" s="1">
        <v>28.46</v>
      </c>
    </row>
    <row r="1186" spans="1:12">
      <c r="A1186" t="s">
        <v>1162</v>
      </c>
      <c r="B1186">
        <v>435444</v>
      </c>
      <c r="C1186" s="2" t="str">
        <f>"4014000"</f>
        <v>4014000</v>
      </c>
      <c r="D1186" t="s">
        <v>1209</v>
      </c>
      <c r="E1186" t="s">
        <v>4</v>
      </c>
      <c r="F1186">
        <v>7</v>
      </c>
      <c r="H1186" t="s">
        <v>5</v>
      </c>
      <c r="I1186" s="1">
        <v>90.55</v>
      </c>
      <c r="J1186" s="1">
        <v>88.17</v>
      </c>
      <c r="K1186" t="s">
        <v>6</v>
      </c>
    </row>
    <row r="1187" spans="1:12">
      <c r="A1187" t="s">
        <v>1162</v>
      </c>
      <c r="B1187">
        <v>380845</v>
      </c>
      <c r="C1187" s="2" t="str">
        <f>"4015300"</f>
        <v>4015300</v>
      </c>
      <c r="D1187" t="s">
        <v>1210</v>
      </c>
      <c r="E1187" t="s">
        <v>4</v>
      </c>
      <c r="F1187">
        <v>3</v>
      </c>
      <c r="G1187">
        <v>0.25</v>
      </c>
      <c r="H1187" t="s">
        <v>106</v>
      </c>
      <c r="I1187" s="1">
        <v>7.23</v>
      </c>
      <c r="J1187" s="1">
        <v>7.05</v>
      </c>
      <c r="K1187" t="s">
        <v>457</v>
      </c>
      <c r="L1187" s="1">
        <v>7.75</v>
      </c>
    </row>
    <row r="1188" spans="1:12">
      <c r="A1188" t="s">
        <v>1162</v>
      </c>
      <c r="B1188">
        <v>397405</v>
      </c>
      <c r="C1188" s="2" t="str">
        <f>"4016402"</f>
        <v>4016402</v>
      </c>
      <c r="D1188" t="s">
        <v>1211</v>
      </c>
      <c r="E1188" t="s">
        <v>4</v>
      </c>
      <c r="F1188">
        <v>3</v>
      </c>
      <c r="G1188">
        <v>0.25</v>
      </c>
      <c r="H1188" t="s">
        <v>106</v>
      </c>
      <c r="I1188" s="1">
        <v>8.83</v>
      </c>
      <c r="J1188" s="1">
        <v>8.59</v>
      </c>
      <c r="K1188" t="s">
        <v>457</v>
      </c>
      <c r="L1188" s="1">
        <v>9.4499999999999993</v>
      </c>
    </row>
    <row r="1189" spans="1:12">
      <c r="A1189" t="s">
        <v>1162</v>
      </c>
      <c r="B1189">
        <v>397601</v>
      </c>
      <c r="C1189" s="2" t="str">
        <f>"4027500"</f>
        <v>4027500</v>
      </c>
      <c r="D1189" t="s">
        <v>1212</v>
      </c>
      <c r="E1189" t="s">
        <v>4</v>
      </c>
      <c r="F1189">
        <v>9.6</v>
      </c>
      <c r="G1189">
        <v>0.8</v>
      </c>
      <c r="H1189" t="s">
        <v>106</v>
      </c>
      <c r="I1189" s="1">
        <v>4.76</v>
      </c>
      <c r="J1189" s="1">
        <v>4.6399999999999997</v>
      </c>
      <c r="K1189" t="s">
        <v>457</v>
      </c>
      <c r="L1189" s="1">
        <v>5.1100000000000003</v>
      </c>
    </row>
    <row r="1190" spans="1:12">
      <c r="A1190" t="s">
        <v>1162</v>
      </c>
      <c r="B1190">
        <v>397362</v>
      </c>
      <c r="C1190" s="2" t="str">
        <f>"4029000"</f>
        <v>4029000</v>
      </c>
      <c r="D1190" t="s">
        <v>1213</v>
      </c>
      <c r="E1190" t="s">
        <v>4</v>
      </c>
      <c r="F1190">
        <v>15</v>
      </c>
      <c r="G1190">
        <v>2.5</v>
      </c>
      <c r="H1190" t="s">
        <v>20</v>
      </c>
      <c r="I1190" s="1">
        <v>30.73</v>
      </c>
      <c r="J1190" s="1">
        <v>29.91</v>
      </c>
      <c r="K1190" t="s">
        <v>457</v>
      </c>
      <c r="L1190" s="1">
        <v>32.9</v>
      </c>
    </row>
    <row r="1191" spans="1:12">
      <c r="A1191" t="s">
        <v>1162</v>
      </c>
      <c r="B1191">
        <v>380839</v>
      </c>
      <c r="C1191" s="2" t="str">
        <f>"4029300"</f>
        <v>4029300</v>
      </c>
      <c r="D1191" t="s">
        <v>1214</v>
      </c>
      <c r="E1191" t="s">
        <v>4</v>
      </c>
      <c r="F1191">
        <v>10.68</v>
      </c>
      <c r="G1191">
        <v>0.89</v>
      </c>
      <c r="H1191" t="s">
        <v>106</v>
      </c>
      <c r="I1191" s="1">
        <v>19.68</v>
      </c>
      <c r="J1191" s="1">
        <v>19.16</v>
      </c>
      <c r="K1191" t="s">
        <v>457</v>
      </c>
      <c r="L1191" s="1">
        <v>21.08</v>
      </c>
    </row>
    <row r="1192" spans="1:12">
      <c r="A1192" t="s">
        <v>1162</v>
      </c>
      <c r="B1192">
        <v>460915</v>
      </c>
      <c r="C1192" s="2" t="str">
        <f>"4029400"</f>
        <v>4029400</v>
      </c>
      <c r="D1192" t="s">
        <v>1215</v>
      </c>
      <c r="E1192" t="s">
        <v>4</v>
      </c>
      <c r="F1192">
        <v>4.75</v>
      </c>
      <c r="H1192" t="s">
        <v>5</v>
      </c>
      <c r="I1192" s="1">
        <v>88.18</v>
      </c>
      <c r="J1192" s="1">
        <v>85.85</v>
      </c>
      <c r="K1192" t="s">
        <v>6</v>
      </c>
    </row>
    <row r="1193" spans="1:12">
      <c r="A1193" t="s">
        <v>1162</v>
      </c>
      <c r="B1193">
        <v>557424</v>
      </c>
      <c r="C1193" s="2" t="str">
        <f>"4035202"</f>
        <v>4035202</v>
      </c>
      <c r="D1193" t="s">
        <v>1216</v>
      </c>
      <c r="E1193" t="s">
        <v>4</v>
      </c>
      <c r="F1193">
        <v>7.02</v>
      </c>
      <c r="G1193">
        <v>1.17</v>
      </c>
      <c r="H1193" t="s">
        <v>20</v>
      </c>
      <c r="I1193" s="1">
        <v>28.42</v>
      </c>
      <c r="J1193" s="1">
        <v>27.67</v>
      </c>
      <c r="K1193" t="s">
        <v>21</v>
      </c>
      <c r="L1193" s="1">
        <v>30.44</v>
      </c>
    </row>
    <row r="1194" spans="1:12">
      <c r="A1194" t="s">
        <v>1162</v>
      </c>
      <c r="B1194">
        <v>380809</v>
      </c>
      <c r="C1194" s="2" t="str">
        <f>"4037000"</f>
        <v>4037000</v>
      </c>
      <c r="D1194" t="s">
        <v>1217</v>
      </c>
      <c r="E1194" t="s">
        <v>4</v>
      </c>
      <c r="F1194">
        <v>3</v>
      </c>
      <c r="G1194">
        <v>0.25</v>
      </c>
      <c r="H1194" t="s">
        <v>106</v>
      </c>
      <c r="I1194" s="1">
        <v>11.12</v>
      </c>
      <c r="J1194" s="1">
        <v>10.83</v>
      </c>
      <c r="K1194" t="s">
        <v>457</v>
      </c>
      <c r="L1194" s="1">
        <v>11.91</v>
      </c>
    </row>
    <row r="1195" spans="1:12">
      <c r="A1195" t="s">
        <v>1162</v>
      </c>
      <c r="B1195">
        <v>380812</v>
      </c>
      <c r="C1195" s="2" t="str">
        <f>"4037300"</f>
        <v>4037300</v>
      </c>
      <c r="D1195" t="s">
        <v>1218</v>
      </c>
      <c r="E1195" t="s">
        <v>4</v>
      </c>
      <c r="F1195">
        <v>1.32</v>
      </c>
      <c r="G1195">
        <v>0.11</v>
      </c>
      <c r="H1195" t="s">
        <v>106</v>
      </c>
      <c r="I1195" s="1">
        <v>7.45</v>
      </c>
      <c r="J1195" s="1">
        <v>7.25</v>
      </c>
      <c r="K1195" t="s">
        <v>457</v>
      </c>
      <c r="L1195" s="1">
        <v>7.98</v>
      </c>
    </row>
    <row r="1196" spans="1:12">
      <c r="A1196" t="s">
        <v>1162</v>
      </c>
      <c r="B1196">
        <v>380814</v>
      </c>
      <c r="C1196" s="2" t="str">
        <f>"4037400"</f>
        <v>4037400</v>
      </c>
      <c r="D1196" t="s">
        <v>1219</v>
      </c>
      <c r="E1196" t="s">
        <v>4</v>
      </c>
      <c r="F1196">
        <v>1.8</v>
      </c>
      <c r="G1196">
        <v>0.15</v>
      </c>
      <c r="H1196" t="s">
        <v>106</v>
      </c>
      <c r="I1196" s="1">
        <v>8.41</v>
      </c>
      <c r="J1196" s="1">
        <v>8.19</v>
      </c>
      <c r="K1196" t="s">
        <v>457</v>
      </c>
      <c r="L1196" s="1">
        <v>9.01</v>
      </c>
    </row>
    <row r="1197" spans="1:12">
      <c r="A1197" t="s">
        <v>1162</v>
      </c>
      <c r="B1197">
        <v>397281</v>
      </c>
      <c r="C1197" s="2" t="str">
        <f>"4037500"</f>
        <v>4037500</v>
      </c>
      <c r="D1197" t="s">
        <v>1220</v>
      </c>
      <c r="E1197" t="s">
        <v>4</v>
      </c>
      <c r="F1197">
        <v>3.12</v>
      </c>
      <c r="G1197">
        <v>0.26</v>
      </c>
      <c r="H1197" t="s">
        <v>106</v>
      </c>
      <c r="I1197" s="1">
        <v>10.84</v>
      </c>
      <c r="J1197" s="1">
        <v>10.56</v>
      </c>
      <c r="K1197" t="s">
        <v>457</v>
      </c>
      <c r="L1197" s="1">
        <v>11.61</v>
      </c>
    </row>
    <row r="1198" spans="1:12">
      <c r="A1198" t="s">
        <v>1162</v>
      </c>
      <c r="B1198">
        <v>388949</v>
      </c>
      <c r="C1198" s="2" t="str">
        <f>"4037600"</f>
        <v>4037600</v>
      </c>
      <c r="D1198" t="s">
        <v>1221</v>
      </c>
      <c r="E1198" t="s">
        <v>4</v>
      </c>
      <c r="F1198">
        <v>55.8</v>
      </c>
      <c r="G1198">
        <v>4.6500000000000004</v>
      </c>
      <c r="H1198" t="s">
        <v>106</v>
      </c>
      <c r="I1198" s="1">
        <v>14.04</v>
      </c>
      <c r="J1198" s="1">
        <v>13.66</v>
      </c>
      <c r="K1198" t="s">
        <v>457</v>
      </c>
      <c r="L1198" s="1">
        <v>15.03</v>
      </c>
    </row>
    <row r="1199" spans="1:12">
      <c r="A1199" t="s">
        <v>1162</v>
      </c>
      <c r="B1199">
        <v>380803</v>
      </c>
      <c r="C1199" s="2" t="str">
        <f>"4037800"</f>
        <v>4037800</v>
      </c>
      <c r="D1199" t="s">
        <v>1222</v>
      </c>
      <c r="E1199" t="s">
        <v>4</v>
      </c>
      <c r="F1199">
        <v>1.92</v>
      </c>
      <c r="G1199">
        <v>0.16</v>
      </c>
      <c r="H1199" t="s">
        <v>106</v>
      </c>
      <c r="I1199" s="1">
        <v>8.6300000000000008</v>
      </c>
      <c r="J1199" s="1">
        <v>8.41</v>
      </c>
      <c r="K1199" t="s">
        <v>457</v>
      </c>
      <c r="L1199" s="1">
        <v>9.25</v>
      </c>
    </row>
    <row r="1200" spans="1:12">
      <c r="A1200" t="s">
        <v>1162</v>
      </c>
      <c r="B1200">
        <v>380804</v>
      </c>
      <c r="C1200" s="2" t="str">
        <f>"4037900"</f>
        <v>4037900</v>
      </c>
      <c r="D1200" t="s">
        <v>1223</v>
      </c>
      <c r="E1200" t="s">
        <v>4</v>
      </c>
      <c r="F1200">
        <v>2.52</v>
      </c>
      <c r="G1200">
        <v>0.21</v>
      </c>
      <c r="H1200" t="s">
        <v>106</v>
      </c>
      <c r="I1200" s="1">
        <v>11.53</v>
      </c>
      <c r="J1200" s="1">
        <v>11.22</v>
      </c>
      <c r="K1200" t="s">
        <v>457</v>
      </c>
      <c r="L1200" s="1">
        <v>12.34</v>
      </c>
    </row>
    <row r="1201" spans="1:12">
      <c r="A1201" t="s">
        <v>1162</v>
      </c>
      <c r="B1201">
        <v>380823</v>
      </c>
      <c r="C1201" s="2" t="str">
        <f>"4038000"</f>
        <v>4038000</v>
      </c>
      <c r="D1201" t="s">
        <v>1224</v>
      </c>
      <c r="E1201" t="s">
        <v>4</v>
      </c>
      <c r="F1201">
        <v>2.2799999999999998</v>
      </c>
      <c r="G1201">
        <v>0.19</v>
      </c>
      <c r="H1201" t="s">
        <v>106</v>
      </c>
      <c r="I1201" s="1">
        <v>8.5399999999999991</v>
      </c>
      <c r="J1201" s="1">
        <v>8.32</v>
      </c>
      <c r="K1201" t="s">
        <v>457</v>
      </c>
      <c r="L1201" s="1">
        <v>9.15</v>
      </c>
    </row>
    <row r="1202" spans="1:12">
      <c r="A1202" t="s">
        <v>1162</v>
      </c>
      <c r="B1202">
        <v>380800</v>
      </c>
      <c r="C1202" s="2" t="str">
        <f>"4039102"</f>
        <v>4039102</v>
      </c>
      <c r="D1202" t="s">
        <v>1225</v>
      </c>
      <c r="E1202" t="s">
        <v>4</v>
      </c>
      <c r="F1202">
        <v>1.32</v>
      </c>
      <c r="G1202">
        <v>0.11</v>
      </c>
      <c r="H1202" t="s">
        <v>106</v>
      </c>
      <c r="I1202" s="1">
        <v>7.35</v>
      </c>
      <c r="J1202" s="1">
        <v>7.15</v>
      </c>
      <c r="K1202" t="s">
        <v>457</v>
      </c>
      <c r="L1202" s="1">
        <v>7.87</v>
      </c>
    </row>
    <row r="1203" spans="1:12">
      <c r="A1203" t="s">
        <v>1162</v>
      </c>
      <c r="B1203">
        <v>380801</v>
      </c>
      <c r="C1203" s="2" t="str">
        <f>"4039202"</f>
        <v>4039202</v>
      </c>
      <c r="D1203" t="s">
        <v>1226</v>
      </c>
      <c r="E1203" t="s">
        <v>4</v>
      </c>
      <c r="F1203">
        <v>1.92</v>
      </c>
      <c r="G1203">
        <v>0.16</v>
      </c>
      <c r="H1203" t="s">
        <v>106</v>
      </c>
      <c r="I1203" s="1">
        <v>8.68</v>
      </c>
      <c r="J1203" s="1">
        <v>8.4600000000000009</v>
      </c>
      <c r="K1203" t="s">
        <v>457</v>
      </c>
      <c r="L1203" s="1">
        <v>9.31</v>
      </c>
    </row>
    <row r="1204" spans="1:12">
      <c r="A1204" t="s">
        <v>1162</v>
      </c>
      <c r="B1204">
        <v>380802</v>
      </c>
      <c r="C1204" s="2" t="str">
        <f>"4039302"</f>
        <v>4039302</v>
      </c>
      <c r="D1204" t="s">
        <v>1227</v>
      </c>
      <c r="E1204" t="s">
        <v>4</v>
      </c>
      <c r="F1204">
        <v>2.88</v>
      </c>
      <c r="G1204">
        <v>0.24</v>
      </c>
      <c r="H1204" t="s">
        <v>106</v>
      </c>
      <c r="I1204" s="1">
        <v>11.66</v>
      </c>
      <c r="J1204" s="1">
        <v>11.36</v>
      </c>
      <c r="K1204" t="s">
        <v>457</v>
      </c>
      <c r="L1204" s="1">
        <v>12.5</v>
      </c>
    </row>
    <row r="1205" spans="1:12">
      <c r="A1205" t="s">
        <v>1162</v>
      </c>
      <c r="B1205">
        <v>388948</v>
      </c>
      <c r="C1205" s="2" t="str">
        <f>"4039600"</f>
        <v>4039600</v>
      </c>
      <c r="D1205" t="s">
        <v>1228</v>
      </c>
      <c r="E1205" t="s">
        <v>4</v>
      </c>
      <c r="F1205">
        <v>16.32</v>
      </c>
      <c r="G1205">
        <v>1.36</v>
      </c>
      <c r="H1205" t="s">
        <v>106</v>
      </c>
      <c r="I1205" s="1">
        <v>6.8</v>
      </c>
      <c r="J1205" s="1">
        <v>6.63</v>
      </c>
      <c r="K1205" t="s">
        <v>457</v>
      </c>
      <c r="L1205" s="1">
        <v>7.29</v>
      </c>
    </row>
    <row r="1206" spans="1:12">
      <c r="A1206" t="s">
        <v>1162</v>
      </c>
      <c r="B1206">
        <v>380820</v>
      </c>
      <c r="C1206" s="2" t="str">
        <f>"4039700"</f>
        <v>4039700</v>
      </c>
      <c r="D1206" t="s">
        <v>1229</v>
      </c>
      <c r="E1206" t="s">
        <v>4</v>
      </c>
      <c r="F1206">
        <v>1.68</v>
      </c>
      <c r="G1206">
        <v>0.14000000000000001</v>
      </c>
      <c r="H1206" t="s">
        <v>106</v>
      </c>
      <c r="I1206" s="1">
        <v>7.33</v>
      </c>
      <c r="J1206" s="1">
        <v>7.14</v>
      </c>
      <c r="K1206" t="s">
        <v>457</v>
      </c>
      <c r="L1206" s="1">
        <v>7.85</v>
      </c>
    </row>
    <row r="1207" spans="1:12">
      <c r="A1207" t="s">
        <v>1162</v>
      </c>
      <c r="B1207">
        <v>380818</v>
      </c>
      <c r="C1207" s="2" t="str">
        <f>"4039800"</f>
        <v>4039800</v>
      </c>
      <c r="D1207" t="s">
        <v>1230</v>
      </c>
      <c r="E1207" t="s">
        <v>4</v>
      </c>
      <c r="F1207">
        <v>3</v>
      </c>
      <c r="G1207">
        <v>0.25</v>
      </c>
      <c r="H1207" t="s">
        <v>106</v>
      </c>
      <c r="I1207" s="1">
        <v>8.41</v>
      </c>
      <c r="J1207" s="1">
        <v>8.19</v>
      </c>
      <c r="K1207" t="s">
        <v>457</v>
      </c>
      <c r="L1207" s="1">
        <v>9.01</v>
      </c>
    </row>
    <row r="1208" spans="1:12">
      <c r="A1208" t="s">
        <v>1162</v>
      </c>
      <c r="B1208">
        <v>380825</v>
      </c>
      <c r="C1208" s="2" t="str">
        <f>"4039900"</f>
        <v>4039900</v>
      </c>
      <c r="D1208" t="s">
        <v>1231</v>
      </c>
      <c r="E1208" t="s">
        <v>4</v>
      </c>
      <c r="F1208">
        <v>4.32</v>
      </c>
      <c r="G1208">
        <v>0.36</v>
      </c>
      <c r="H1208" t="s">
        <v>106</v>
      </c>
      <c r="I1208" s="1">
        <v>12.36</v>
      </c>
      <c r="J1208" s="1">
        <v>12.04</v>
      </c>
      <c r="K1208" t="s">
        <v>457</v>
      </c>
      <c r="L1208" s="1">
        <v>13.24</v>
      </c>
    </row>
    <row r="1209" spans="1:12">
      <c r="A1209" t="s">
        <v>1162</v>
      </c>
      <c r="B1209">
        <v>397402</v>
      </c>
      <c r="C1209" s="2" t="str">
        <f>"4041202"</f>
        <v>4041202</v>
      </c>
      <c r="D1209" t="s">
        <v>1232</v>
      </c>
      <c r="E1209" t="s">
        <v>4</v>
      </c>
      <c r="F1209">
        <v>3</v>
      </c>
      <c r="G1209">
        <v>0.25</v>
      </c>
      <c r="H1209" t="s">
        <v>106</v>
      </c>
      <c r="I1209" s="1">
        <v>5.24</v>
      </c>
      <c r="J1209" s="1">
        <v>5.1100000000000003</v>
      </c>
      <c r="K1209" t="s">
        <v>457</v>
      </c>
      <c r="L1209" s="1">
        <v>5.62</v>
      </c>
    </row>
    <row r="1210" spans="1:12">
      <c r="A1210" t="s">
        <v>1162</v>
      </c>
      <c r="B1210">
        <v>380847</v>
      </c>
      <c r="C1210" s="2" t="str">
        <f>"4046103"</f>
        <v>4046103</v>
      </c>
      <c r="D1210" t="s">
        <v>1233</v>
      </c>
      <c r="E1210" t="s">
        <v>4</v>
      </c>
      <c r="F1210">
        <v>10.08</v>
      </c>
      <c r="G1210">
        <v>1.68</v>
      </c>
      <c r="H1210" t="s">
        <v>20</v>
      </c>
      <c r="I1210" s="1">
        <v>28.26</v>
      </c>
      <c r="J1210" s="1">
        <v>27.51</v>
      </c>
      <c r="K1210" t="s">
        <v>457</v>
      </c>
      <c r="L1210" s="1">
        <v>30.26</v>
      </c>
    </row>
    <row r="1211" spans="1:12">
      <c r="A1211" t="s">
        <v>1162</v>
      </c>
      <c r="B1211">
        <v>380850</v>
      </c>
      <c r="C1211" s="2" t="str">
        <f>"4046503"</f>
        <v>4046503</v>
      </c>
      <c r="D1211" t="s">
        <v>1234</v>
      </c>
      <c r="E1211" t="s">
        <v>4</v>
      </c>
      <c r="F1211">
        <v>3.24</v>
      </c>
      <c r="G1211">
        <v>0.27</v>
      </c>
      <c r="H1211" t="s">
        <v>106</v>
      </c>
      <c r="I1211" s="1">
        <v>8.1999999999999993</v>
      </c>
      <c r="J1211" s="1">
        <v>8</v>
      </c>
      <c r="K1211" t="s">
        <v>457</v>
      </c>
      <c r="L1211" s="1">
        <v>8.7899999999999991</v>
      </c>
    </row>
    <row r="1212" spans="1:12">
      <c r="A1212" t="s">
        <v>1162</v>
      </c>
      <c r="B1212">
        <v>389126</v>
      </c>
      <c r="C1212" s="2" t="str">
        <f>"40480-02"</f>
        <v>40480-02</v>
      </c>
      <c r="D1212" t="s">
        <v>1235</v>
      </c>
      <c r="E1212" t="s">
        <v>4</v>
      </c>
      <c r="F1212">
        <v>7.68</v>
      </c>
      <c r="G1212">
        <v>0.64</v>
      </c>
      <c r="H1212" t="s">
        <v>106</v>
      </c>
      <c r="I1212" s="1">
        <v>9.67</v>
      </c>
      <c r="J1212" s="1">
        <v>9.43</v>
      </c>
      <c r="K1212" t="s">
        <v>457</v>
      </c>
      <c r="L1212" s="1">
        <v>10.37</v>
      </c>
    </row>
    <row r="1213" spans="1:12">
      <c r="A1213" t="s">
        <v>1162</v>
      </c>
      <c r="B1213">
        <v>380840</v>
      </c>
      <c r="C1213" s="2" t="str">
        <f>"4067100"</f>
        <v>4067100</v>
      </c>
      <c r="D1213" t="s">
        <v>1236</v>
      </c>
      <c r="E1213" t="s">
        <v>4</v>
      </c>
      <c r="F1213">
        <v>4.5599999999999996</v>
      </c>
      <c r="G1213">
        <v>0.38</v>
      </c>
      <c r="H1213" t="s">
        <v>106</v>
      </c>
      <c r="I1213" s="1">
        <v>6.01</v>
      </c>
      <c r="J1213" s="1">
        <v>5.85</v>
      </c>
      <c r="K1213" t="s">
        <v>457</v>
      </c>
      <c r="L1213" s="1">
        <v>6.44</v>
      </c>
    </row>
    <row r="1214" spans="1:12">
      <c r="A1214" t="s">
        <v>1162</v>
      </c>
      <c r="B1214">
        <v>380851</v>
      </c>
      <c r="C1214" s="2" t="str">
        <f>"4067300"</f>
        <v>4067300</v>
      </c>
      <c r="D1214" t="s">
        <v>1237</v>
      </c>
      <c r="E1214" t="s">
        <v>4</v>
      </c>
      <c r="F1214">
        <v>0.96</v>
      </c>
      <c r="G1214">
        <v>0.08</v>
      </c>
      <c r="H1214" t="s">
        <v>106</v>
      </c>
      <c r="I1214" s="1">
        <v>3.02</v>
      </c>
      <c r="J1214" s="1">
        <v>2.94</v>
      </c>
      <c r="K1214" t="s">
        <v>457</v>
      </c>
      <c r="L1214" s="1">
        <v>3.23</v>
      </c>
    </row>
    <row r="1215" spans="1:12">
      <c r="A1215" t="s">
        <v>1162</v>
      </c>
      <c r="B1215">
        <v>380830</v>
      </c>
      <c r="C1215" s="2" t="str">
        <f>"40681"</f>
        <v>40681</v>
      </c>
      <c r="D1215" t="s">
        <v>1238</v>
      </c>
      <c r="E1215" t="s">
        <v>4</v>
      </c>
      <c r="F1215">
        <v>4.2</v>
      </c>
      <c r="G1215">
        <v>2.1</v>
      </c>
      <c r="H1215" t="s">
        <v>175</v>
      </c>
      <c r="I1215" s="1">
        <v>67.64</v>
      </c>
      <c r="J1215" s="1">
        <v>65.86</v>
      </c>
      <c r="K1215" t="s">
        <v>457</v>
      </c>
      <c r="L1215" s="1">
        <v>72.44</v>
      </c>
    </row>
    <row r="1216" spans="1:12">
      <c r="A1216" t="s">
        <v>1162</v>
      </c>
      <c r="B1216">
        <v>380661</v>
      </c>
      <c r="C1216" s="2" t="str">
        <f>"410907"</f>
        <v>410907</v>
      </c>
      <c r="D1216" t="s">
        <v>1239</v>
      </c>
      <c r="E1216" t="s">
        <v>4</v>
      </c>
      <c r="F1216">
        <v>2.04</v>
      </c>
      <c r="G1216">
        <v>0.17</v>
      </c>
      <c r="H1216" t="s">
        <v>106</v>
      </c>
      <c r="I1216" s="1">
        <v>2.35</v>
      </c>
      <c r="J1216" s="1">
        <v>2.2999999999999998</v>
      </c>
      <c r="K1216" t="s">
        <v>457</v>
      </c>
      <c r="L1216" s="1">
        <v>2.5299999999999998</v>
      </c>
    </row>
    <row r="1217" spans="1:12">
      <c r="A1217" t="s">
        <v>1162</v>
      </c>
      <c r="B1217">
        <v>380673</v>
      </c>
      <c r="C1217" s="2" t="str">
        <f>"429503"</f>
        <v>429503</v>
      </c>
      <c r="D1217" t="s">
        <v>1240</v>
      </c>
      <c r="E1217" t="s">
        <v>4</v>
      </c>
      <c r="F1217">
        <v>0.96</v>
      </c>
      <c r="G1217">
        <v>0.08</v>
      </c>
      <c r="H1217" t="s">
        <v>106</v>
      </c>
      <c r="I1217" s="1">
        <v>2.42</v>
      </c>
      <c r="J1217" s="1">
        <v>2.35</v>
      </c>
      <c r="K1217" t="s">
        <v>457</v>
      </c>
      <c r="L1217" s="1">
        <v>2.59</v>
      </c>
    </row>
    <row r="1218" spans="1:12">
      <c r="A1218" t="s">
        <v>1162</v>
      </c>
      <c r="B1218">
        <v>380674</v>
      </c>
      <c r="C1218" s="2" t="str">
        <f>"429506"</f>
        <v>429506</v>
      </c>
      <c r="D1218" t="s">
        <v>1241</v>
      </c>
      <c r="E1218" t="s">
        <v>4</v>
      </c>
      <c r="F1218">
        <v>0.96</v>
      </c>
      <c r="G1218">
        <v>0.08</v>
      </c>
      <c r="H1218" t="s">
        <v>106</v>
      </c>
      <c r="I1218" s="1">
        <v>2.42</v>
      </c>
      <c r="J1218" s="1">
        <v>2.35</v>
      </c>
      <c r="K1218" t="s">
        <v>457</v>
      </c>
      <c r="L1218" s="1">
        <v>2.59</v>
      </c>
    </row>
    <row r="1219" spans="1:12">
      <c r="A1219" t="s">
        <v>1162</v>
      </c>
      <c r="B1219">
        <v>396076</v>
      </c>
      <c r="C1219" s="2" t="str">
        <f>"4396507"</f>
        <v>4396507</v>
      </c>
      <c r="D1219" t="s">
        <v>1242</v>
      </c>
      <c r="E1219" t="s">
        <v>4</v>
      </c>
      <c r="F1219">
        <v>10</v>
      </c>
      <c r="H1219" t="s">
        <v>5</v>
      </c>
      <c r="I1219" s="1">
        <v>94.03</v>
      </c>
      <c r="J1219" s="1">
        <v>91.56</v>
      </c>
      <c r="K1219" t="s">
        <v>6</v>
      </c>
    </row>
    <row r="1220" spans="1:12">
      <c r="A1220" t="s">
        <v>1162</v>
      </c>
      <c r="B1220">
        <v>380646</v>
      </c>
      <c r="C1220" s="2" t="str">
        <f>"441003"</f>
        <v>441003</v>
      </c>
      <c r="D1220" t="s">
        <v>1243</v>
      </c>
      <c r="E1220" t="s">
        <v>4</v>
      </c>
      <c r="F1220">
        <v>1.44</v>
      </c>
      <c r="G1220">
        <v>0.12</v>
      </c>
      <c r="H1220" t="s">
        <v>106</v>
      </c>
      <c r="I1220" s="1">
        <v>1.99</v>
      </c>
      <c r="J1220" s="1">
        <v>1.94</v>
      </c>
      <c r="K1220" t="s">
        <v>457</v>
      </c>
      <c r="L1220" s="1">
        <v>2.13</v>
      </c>
    </row>
    <row r="1221" spans="1:12">
      <c r="A1221" t="s">
        <v>1162</v>
      </c>
      <c r="B1221">
        <v>380645</v>
      </c>
      <c r="C1221" s="2" t="str">
        <f>"441007"</f>
        <v>441007</v>
      </c>
      <c r="D1221" t="s">
        <v>1244</v>
      </c>
      <c r="E1221" t="s">
        <v>4</v>
      </c>
      <c r="F1221">
        <v>1.44</v>
      </c>
      <c r="G1221">
        <v>0.12</v>
      </c>
      <c r="H1221" t="s">
        <v>106</v>
      </c>
      <c r="I1221" s="1">
        <v>1.99</v>
      </c>
      <c r="J1221" s="1">
        <v>1.94</v>
      </c>
      <c r="K1221" t="s">
        <v>457</v>
      </c>
      <c r="L1221" s="1">
        <v>2.13</v>
      </c>
    </row>
    <row r="1222" spans="1:12">
      <c r="A1222" t="s">
        <v>1162</v>
      </c>
      <c r="B1222">
        <v>380648</v>
      </c>
      <c r="C1222" s="2" t="str">
        <f>"441103"</f>
        <v>441103</v>
      </c>
      <c r="D1222" t="s">
        <v>1245</v>
      </c>
      <c r="E1222" t="s">
        <v>4</v>
      </c>
      <c r="F1222">
        <v>1.44</v>
      </c>
      <c r="G1222">
        <v>0.12</v>
      </c>
      <c r="H1222" t="s">
        <v>106</v>
      </c>
      <c r="I1222" s="1">
        <v>1.99</v>
      </c>
      <c r="J1222" s="1">
        <v>1.94</v>
      </c>
      <c r="K1222" t="s">
        <v>457</v>
      </c>
      <c r="L1222" s="1">
        <v>2.13</v>
      </c>
    </row>
    <row r="1223" spans="1:12">
      <c r="A1223" t="s">
        <v>1162</v>
      </c>
      <c r="B1223">
        <v>380647</v>
      </c>
      <c r="C1223" s="2" t="str">
        <f>"441107"</f>
        <v>441107</v>
      </c>
      <c r="D1223" t="s">
        <v>1246</v>
      </c>
      <c r="E1223" t="s">
        <v>4</v>
      </c>
      <c r="F1223">
        <v>1.44</v>
      </c>
      <c r="G1223">
        <v>0.12</v>
      </c>
      <c r="H1223" t="s">
        <v>106</v>
      </c>
      <c r="I1223" s="1">
        <v>1.99</v>
      </c>
      <c r="J1223" s="1">
        <v>1.94</v>
      </c>
      <c r="K1223" t="s">
        <v>457</v>
      </c>
      <c r="L1223" s="1">
        <v>2.13</v>
      </c>
    </row>
    <row r="1224" spans="1:12">
      <c r="A1224" t="s">
        <v>1162</v>
      </c>
      <c r="B1224">
        <v>397366</v>
      </c>
      <c r="C1224" s="2" t="str">
        <f>"442006"</f>
        <v>442006</v>
      </c>
      <c r="D1224" t="s">
        <v>1247</v>
      </c>
      <c r="E1224" t="s">
        <v>4</v>
      </c>
      <c r="F1224">
        <v>1.68</v>
      </c>
      <c r="G1224">
        <v>0.14000000000000001</v>
      </c>
      <c r="H1224" t="s">
        <v>106</v>
      </c>
      <c r="I1224" s="1">
        <v>3.39</v>
      </c>
      <c r="J1224" s="1">
        <v>3.3</v>
      </c>
      <c r="K1224" t="s">
        <v>457</v>
      </c>
      <c r="L1224" s="1">
        <v>3.63</v>
      </c>
    </row>
    <row r="1225" spans="1:12">
      <c r="A1225" t="s">
        <v>1162</v>
      </c>
      <c r="B1225">
        <v>397294</v>
      </c>
      <c r="C1225" s="2" t="str">
        <f>"442603"</f>
        <v>442603</v>
      </c>
      <c r="D1225" t="s">
        <v>1248</v>
      </c>
      <c r="E1225" t="s">
        <v>4</v>
      </c>
      <c r="F1225">
        <v>20.399999999999999</v>
      </c>
      <c r="G1225">
        <v>1.7</v>
      </c>
      <c r="H1225" t="s">
        <v>106</v>
      </c>
      <c r="I1225" s="1">
        <v>5.97</v>
      </c>
      <c r="J1225" s="1">
        <v>5.81</v>
      </c>
      <c r="K1225" t="s">
        <v>457</v>
      </c>
      <c r="L1225" s="1">
        <v>6.39</v>
      </c>
    </row>
    <row r="1226" spans="1:12">
      <c r="A1226" t="s">
        <v>1162</v>
      </c>
      <c r="B1226">
        <v>380657</v>
      </c>
      <c r="C1226" s="2" t="str">
        <f>"446003"</f>
        <v>446003</v>
      </c>
      <c r="D1226" t="s">
        <v>1249</v>
      </c>
      <c r="E1226" t="s">
        <v>4</v>
      </c>
      <c r="F1226">
        <v>0.6</v>
      </c>
      <c r="G1226">
        <v>0.05</v>
      </c>
      <c r="H1226" t="s">
        <v>106</v>
      </c>
      <c r="I1226" s="1">
        <v>1.46</v>
      </c>
      <c r="J1226" s="1">
        <v>1.42</v>
      </c>
      <c r="K1226" t="s">
        <v>457</v>
      </c>
      <c r="L1226" s="1">
        <v>1.56</v>
      </c>
    </row>
    <row r="1227" spans="1:12">
      <c r="A1227" t="s">
        <v>1162</v>
      </c>
      <c r="B1227">
        <v>380658</v>
      </c>
      <c r="C1227" s="2" t="str">
        <f>"446006"</f>
        <v>446006</v>
      </c>
      <c r="D1227" t="s">
        <v>1250</v>
      </c>
      <c r="E1227" t="s">
        <v>4</v>
      </c>
      <c r="F1227">
        <v>0.6</v>
      </c>
      <c r="G1227">
        <v>0.05</v>
      </c>
      <c r="H1227" t="s">
        <v>106</v>
      </c>
      <c r="I1227" s="1">
        <v>1.46</v>
      </c>
      <c r="J1227" s="1">
        <v>1.42</v>
      </c>
      <c r="K1227" t="s">
        <v>457</v>
      </c>
      <c r="L1227" s="1">
        <v>1.56</v>
      </c>
    </row>
    <row r="1228" spans="1:12">
      <c r="A1228" t="s">
        <v>1162</v>
      </c>
      <c r="B1228">
        <v>380659</v>
      </c>
      <c r="C1228" s="2" t="str">
        <f>"447003"</f>
        <v>447003</v>
      </c>
      <c r="D1228" t="s">
        <v>1251</v>
      </c>
      <c r="E1228" t="s">
        <v>4</v>
      </c>
      <c r="F1228">
        <v>0.72</v>
      </c>
      <c r="G1228">
        <v>0.06</v>
      </c>
      <c r="H1228" t="s">
        <v>106</v>
      </c>
      <c r="I1228" s="1">
        <v>1.6</v>
      </c>
      <c r="J1228" s="1">
        <v>1.55</v>
      </c>
      <c r="K1228" t="s">
        <v>457</v>
      </c>
      <c r="L1228" s="1">
        <v>1.7</v>
      </c>
    </row>
    <row r="1229" spans="1:12">
      <c r="A1229" t="s">
        <v>1162</v>
      </c>
      <c r="B1229">
        <v>380660</v>
      </c>
      <c r="C1229" s="2" t="str">
        <f>"447006"</f>
        <v>447006</v>
      </c>
      <c r="D1229" t="s">
        <v>1252</v>
      </c>
      <c r="E1229" t="s">
        <v>4</v>
      </c>
      <c r="F1229">
        <v>0.72</v>
      </c>
      <c r="G1229">
        <v>0.06</v>
      </c>
      <c r="H1229" t="s">
        <v>106</v>
      </c>
      <c r="I1229" s="1">
        <v>1.6</v>
      </c>
      <c r="J1229" s="1">
        <v>1.55</v>
      </c>
      <c r="K1229" t="s">
        <v>457</v>
      </c>
      <c r="L1229" s="1">
        <v>1.7</v>
      </c>
    </row>
    <row r="1230" spans="1:12">
      <c r="A1230" t="s">
        <v>1162</v>
      </c>
      <c r="B1230">
        <v>397796</v>
      </c>
      <c r="C1230" s="2" t="str">
        <f>"447103"</f>
        <v>447103</v>
      </c>
      <c r="D1230" t="s">
        <v>1253</v>
      </c>
      <c r="E1230" t="s">
        <v>4</v>
      </c>
      <c r="F1230">
        <v>0.72</v>
      </c>
      <c r="G1230">
        <v>0.06</v>
      </c>
      <c r="H1230" t="s">
        <v>106</v>
      </c>
      <c r="I1230" s="1">
        <v>1.6</v>
      </c>
      <c r="J1230" s="1">
        <v>1.55</v>
      </c>
      <c r="K1230" t="s">
        <v>21</v>
      </c>
      <c r="L1230" s="1">
        <v>1.7</v>
      </c>
    </row>
    <row r="1231" spans="1:12">
      <c r="A1231" t="s">
        <v>1162</v>
      </c>
      <c r="B1231">
        <v>370112</v>
      </c>
      <c r="C1231" s="2" t="str">
        <f>"453007"</f>
        <v>453007</v>
      </c>
      <c r="D1231" t="s">
        <v>1254</v>
      </c>
      <c r="E1231" t="s">
        <v>4</v>
      </c>
      <c r="F1231">
        <v>2.76</v>
      </c>
      <c r="H1231" t="s">
        <v>5</v>
      </c>
      <c r="I1231" s="1">
        <v>37.19</v>
      </c>
      <c r="J1231" s="1">
        <v>36.22</v>
      </c>
      <c r="K1231" t="s">
        <v>6</v>
      </c>
    </row>
    <row r="1232" spans="1:12">
      <c r="A1232" t="s">
        <v>1162</v>
      </c>
      <c r="B1232">
        <v>397535</v>
      </c>
      <c r="C1232" s="2" t="str">
        <f>"453107"</f>
        <v>453107</v>
      </c>
      <c r="D1232" t="s">
        <v>1255</v>
      </c>
      <c r="E1232" t="s">
        <v>4</v>
      </c>
      <c r="F1232">
        <v>3</v>
      </c>
      <c r="H1232" t="s">
        <v>5</v>
      </c>
      <c r="I1232" s="1">
        <v>46.09</v>
      </c>
      <c r="J1232" s="1">
        <v>44.88</v>
      </c>
      <c r="K1232" t="s">
        <v>6</v>
      </c>
    </row>
    <row r="1233" spans="1:12">
      <c r="A1233" t="s">
        <v>1162</v>
      </c>
      <c r="B1233">
        <v>380709</v>
      </c>
      <c r="C1233" s="2" t="str">
        <f>"453207"</f>
        <v>453207</v>
      </c>
      <c r="D1233" t="s">
        <v>1256</v>
      </c>
      <c r="E1233" t="s">
        <v>4</v>
      </c>
      <c r="F1233">
        <v>3</v>
      </c>
      <c r="H1233" t="s">
        <v>5</v>
      </c>
      <c r="I1233" s="1">
        <v>54.69</v>
      </c>
      <c r="J1233" s="1">
        <v>53.25</v>
      </c>
      <c r="K1233" t="s">
        <v>6</v>
      </c>
    </row>
    <row r="1234" spans="1:12">
      <c r="A1234" t="s">
        <v>1162</v>
      </c>
      <c r="B1234">
        <v>429762</v>
      </c>
      <c r="C1234" s="2" t="str">
        <f>"4546300"</f>
        <v>4546300</v>
      </c>
      <c r="D1234" t="s">
        <v>1257</v>
      </c>
      <c r="E1234" t="s">
        <v>4</v>
      </c>
      <c r="F1234">
        <v>5.76</v>
      </c>
      <c r="G1234">
        <v>0.48</v>
      </c>
      <c r="H1234" t="s">
        <v>106</v>
      </c>
      <c r="I1234" s="1">
        <v>3.6</v>
      </c>
      <c r="J1234" s="1">
        <v>3.51</v>
      </c>
      <c r="K1234" t="s">
        <v>457</v>
      </c>
      <c r="L1234" s="1">
        <v>3.86</v>
      </c>
    </row>
    <row r="1235" spans="1:12">
      <c r="A1235" t="s">
        <v>1162</v>
      </c>
      <c r="B1235">
        <v>370047</v>
      </c>
      <c r="C1235" s="2" t="str">
        <f>"455002"</f>
        <v>455002</v>
      </c>
      <c r="D1235" t="s">
        <v>1258</v>
      </c>
      <c r="E1235" t="s">
        <v>4</v>
      </c>
      <c r="F1235">
        <v>5.25</v>
      </c>
      <c r="H1235" t="s">
        <v>5</v>
      </c>
      <c r="I1235" s="1">
        <v>75.14</v>
      </c>
      <c r="J1235" s="1">
        <v>73.16</v>
      </c>
      <c r="K1235" t="s">
        <v>6</v>
      </c>
    </row>
    <row r="1236" spans="1:12">
      <c r="A1236" t="s">
        <v>1162</v>
      </c>
      <c r="B1236">
        <v>380737</v>
      </c>
      <c r="C1236" s="2" t="str">
        <f>"455003"</f>
        <v>455003</v>
      </c>
      <c r="D1236" t="s">
        <v>1259</v>
      </c>
      <c r="E1236" t="s">
        <v>4</v>
      </c>
      <c r="F1236">
        <v>5.25</v>
      </c>
      <c r="H1236" t="s">
        <v>5</v>
      </c>
      <c r="I1236" s="1">
        <v>75.14</v>
      </c>
      <c r="J1236" s="1">
        <v>73.16</v>
      </c>
      <c r="K1236" t="s">
        <v>6</v>
      </c>
    </row>
    <row r="1237" spans="1:12">
      <c r="A1237" t="s">
        <v>1162</v>
      </c>
      <c r="B1237">
        <v>380738</v>
      </c>
      <c r="C1237" s="2" t="str">
        <f>"456007"</f>
        <v>456007</v>
      </c>
      <c r="D1237" t="s">
        <v>1260</v>
      </c>
      <c r="E1237" t="s">
        <v>4</v>
      </c>
      <c r="F1237">
        <v>4.8499999999999996</v>
      </c>
      <c r="H1237" t="s">
        <v>5</v>
      </c>
      <c r="I1237" s="1">
        <v>111.59</v>
      </c>
      <c r="J1237" s="1">
        <v>108.65</v>
      </c>
      <c r="K1237" t="s">
        <v>6</v>
      </c>
    </row>
    <row r="1238" spans="1:12">
      <c r="A1238" t="s">
        <v>1162</v>
      </c>
      <c r="B1238">
        <v>397993</v>
      </c>
      <c r="C1238" s="2" t="str">
        <f>"456302"</f>
        <v>456302</v>
      </c>
      <c r="D1238" t="s">
        <v>1261</v>
      </c>
      <c r="E1238" t="s">
        <v>4</v>
      </c>
      <c r="F1238">
        <v>6.89</v>
      </c>
      <c r="H1238" t="s">
        <v>5</v>
      </c>
      <c r="I1238" s="1">
        <v>143.83000000000001</v>
      </c>
      <c r="J1238" s="1">
        <v>140.05000000000001</v>
      </c>
      <c r="K1238" t="s">
        <v>6</v>
      </c>
    </row>
    <row r="1239" spans="1:12">
      <c r="A1239" t="s">
        <v>1162</v>
      </c>
      <c r="B1239">
        <v>380731</v>
      </c>
      <c r="C1239" s="2" t="str">
        <f>"457307"</f>
        <v>457307</v>
      </c>
      <c r="D1239" t="s">
        <v>1262</v>
      </c>
      <c r="E1239" t="s">
        <v>4</v>
      </c>
      <c r="F1239">
        <v>1.75</v>
      </c>
      <c r="H1239" t="s">
        <v>5</v>
      </c>
      <c r="I1239" s="1">
        <v>32.42</v>
      </c>
      <c r="J1239" s="1">
        <v>31.58</v>
      </c>
      <c r="K1239" t="s">
        <v>6</v>
      </c>
    </row>
    <row r="1240" spans="1:12">
      <c r="A1240" t="s">
        <v>1162</v>
      </c>
      <c r="B1240">
        <v>397831</v>
      </c>
      <c r="C1240" s="2" t="str">
        <f>"460601"</f>
        <v>460601</v>
      </c>
      <c r="D1240" t="s">
        <v>1263</v>
      </c>
      <c r="E1240" t="s">
        <v>4</v>
      </c>
      <c r="F1240">
        <v>1.08</v>
      </c>
      <c r="G1240">
        <v>0.09</v>
      </c>
      <c r="H1240" t="s">
        <v>106</v>
      </c>
      <c r="I1240" s="1">
        <v>1.5</v>
      </c>
      <c r="J1240" s="1">
        <v>1.46</v>
      </c>
      <c r="K1240" t="s">
        <v>457</v>
      </c>
      <c r="L1240" s="1">
        <v>1.6</v>
      </c>
    </row>
    <row r="1241" spans="1:12">
      <c r="A1241" t="s">
        <v>1162</v>
      </c>
      <c r="B1241">
        <v>380649</v>
      </c>
      <c r="C1241" s="2" t="str">
        <f>"460603"</f>
        <v>460603</v>
      </c>
      <c r="D1241" t="s">
        <v>1264</v>
      </c>
      <c r="E1241" t="s">
        <v>4</v>
      </c>
      <c r="F1241">
        <v>1.08</v>
      </c>
      <c r="G1241">
        <v>0.09</v>
      </c>
      <c r="H1241" t="s">
        <v>106</v>
      </c>
      <c r="I1241" s="1">
        <v>1.5</v>
      </c>
      <c r="J1241" s="1">
        <v>1.46</v>
      </c>
      <c r="K1241" t="s">
        <v>457</v>
      </c>
      <c r="L1241" s="1">
        <v>1.6</v>
      </c>
    </row>
    <row r="1242" spans="1:12">
      <c r="A1242" t="s">
        <v>1162</v>
      </c>
      <c r="B1242">
        <v>380650</v>
      </c>
      <c r="C1242" s="2" t="str">
        <f>"460606"</f>
        <v>460606</v>
      </c>
      <c r="D1242" t="s">
        <v>1265</v>
      </c>
      <c r="E1242" t="s">
        <v>4</v>
      </c>
      <c r="F1242">
        <v>1.08</v>
      </c>
      <c r="G1242">
        <v>0.09</v>
      </c>
      <c r="H1242" t="s">
        <v>106</v>
      </c>
      <c r="I1242" s="1">
        <v>1.5</v>
      </c>
      <c r="J1242" s="1">
        <v>1.46</v>
      </c>
      <c r="K1242" t="s">
        <v>457</v>
      </c>
      <c r="L1242" s="1">
        <v>1.6</v>
      </c>
    </row>
    <row r="1243" spans="1:12">
      <c r="A1243" t="s">
        <v>1162</v>
      </c>
      <c r="B1243">
        <v>380651</v>
      </c>
      <c r="C1243" s="2" t="str">
        <f>"460903"</f>
        <v>460903</v>
      </c>
      <c r="D1243" t="s">
        <v>1266</v>
      </c>
      <c r="E1243" t="s">
        <v>4</v>
      </c>
      <c r="F1243">
        <v>2.2799999999999998</v>
      </c>
      <c r="G1243">
        <v>0.19</v>
      </c>
      <c r="H1243" t="s">
        <v>106</v>
      </c>
      <c r="I1243" s="1">
        <v>2.35</v>
      </c>
      <c r="J1243" s="1">
        <v>2.2999999999999998</v>
      </c>
      <c r="K1243" t="s">
        <v>457</v>
      </c>
      <c r="L1243" s="1">
        <v>2.5299999999999998</v>
      </c>
    </row>
    <row r="1244" spans="1:12">
      <c r="A1244" t="s">
        <v>1162</v>
      </c>
      <c r="B1244">
        <v>380652</v>
      </c>
      <c r="C1244" s="2" t="str">
        <f>"460906"</f>
        <v>460906</v>
      </c>
      <c r="D1244" t="s">
        <v>1267</v>
      </c>
      <c r="E1244" t="s">
        <v>4</v>
      </c>
      <c r="F1244">
        <v>2.2799999999999998</v>
      </c>
      <c r="G1244">
        <v>0.19</v>
      </c>
      <c r="H1244" t="s">
        <v>106</v>
      </c>
      <c r="I1244" s="1">
        <v>2.35</v>
      </c>
      <c r="J1244" s="1">
        <v>2.2999999999999998</v>
      </c>
      <c r="K1244" t="s">
        <v>457</v>
      </c>
      <c r="L1244" s="1">
        <v>2.5299999999999998</v>
      </c>
    </row>
    <row r="1245" spans="1:12">
      <c r="A1245" t="s">
        <v>1162</v>
      </c>
      <c r="B1245">
        <v>380655</v>
      </c>
      <c r="C1245" s="2" t="str">
        <f>"470903"</f>
        <v>470903</v>
      </c>
      <c r="D1245" t="s">
        <v>1268</v>
      </c>
      <c r="E1245" t="s">
        <v>4</v>
      </c>
      <c r="F1245">
        <v>2.04</v>
      </c>
      <c r="G1245">
        <v>0.17</v>
      </c>
      <c r="H1245" t="s">
        <v>106</v>
      </c>
      <c r="I1245" s="1">
        <v>2.35</v>
      </c>
      <c r="J1245" s="1">
        <v>2.2999999999999998</v>
      </c>
      <c r="K1245" t="s">
        <v>457</v>
      </c>
      <c r="L1245" s="1">
        <v>2.5299999999999998</v>
      </c>
    </row>
    <row r="1246" spans="1:12">
      <c r="A1246" t="s">
        <v>1162</v>
      </c>
      <c r="B1246">
        <v>380656</v>
      </c>
      <c r="C1246" s="2" t="str">
        <f>"470906"</f>
        <v>470906</v>
      </c>
      <c r="D1246" t="s">
        <v>1269</v>
      </c>
      <c r="E1246" t="s">
        <v>4</v>
      </c>
      <c r="F1246">
        <v>2.04</v>
      </c>
      <c r="G1246">
        <v>0.17</v>
      </c>
      <c r="H1246" t="s">
        <v>106</v>
      </c>
      <c r="I1246" s="1">
        <v>2.35</v>
      </c>
      <c r="J1246" s="1">
        <v>2.2999999999999998</v>
      </c>
      <c r="K1246" t="s">
        <v>457</v>
      </c>
      <c r="L1246" s="1">
        <v>2.5299999999999998</v>
      </c>
    </row>
    <row r="1247" spans="1:12">
      <c r="A1247" t="s">
        <v>1162</v>
      </c>
      <c r="B1247">
        <v>380653</v>
      </c>
      <c r="C1247" s="2" t="str">
        <f>"471203"</f>
        <v>471203</v>
      </c>
      <c r="D1247" t="s">
        <v>1270</v>
      </c>
      <c r="E1247" t="s">
        <v>4</v>
      </c>
      <c r="F1247">
        <v>2.64</v>
      </c>
      <c r="G1247">
        <v>0.22</v>
      </c>
      <c r="H1247" t="s">
        <v>106</v>
      </c>
      <c r="I1247" s="1">
        <v>3.56</v>
      </c>
      <c r="J1247" s="1">
        <v>3.46</v>
      </c>
      <c r="K1247" t="s">
        <v>457</v>
      </c>
      <c r="L1247" s="1">
        <v>3.8</v>
      </c>
    </row>
    <row r="1248" spans="1:12">
      <c r="A1248" t="s">
        <v>1162</v>
      </c>
      <c r="B1248">
        <v>380654</v>
      </c>
      <c r="C1248" s="2" t="str">
        <f>"471206"</f>
        <v>471206</v>
      </c>
      <c r="D1248" t="s">
        <v>1271</v>
      </c>
      <c r="E1248" t="s">
        <v>4</v>
      </c>
      <c r="F1248">
        <v>2.64</v>
      </c>
      <c r="G1248">
        <v>0.22</v>
      </c>
      <c r="H1248" t="s">
        <v>106</v>
      </c>
      <c r="I1248" s="1">
        <v>3.56</v>
      </c>
      <c r="J1248" s="1">
        <v>3.46</v>
      </c>
      <c r="K1248" t="s">
        <v>457</v>
      </c>
      <c r="L1248" s="1">
        <v>3.8</v>
      </c>
    </row>
    <row r="1249" spans="1:12">
      <c r="A1249" t="s">
        <v>1162</v>
      </c>
      <c r="B1249">
        <v>397256</v>
      </c>
      <c r="C1249" s="2" t="str">
        <f>"480606"</f>
        <v>480606</v>
      </c>
      <c r="D1249" t="s">
        <v>1272</v>
      </c>
      <c r="E1249" t="s">
        <v>4</v>
      </c>
      <c r="F1249">
        <v>10.199999999999999</v>
      </c>
      <c r="G1249">
        <v>0.85</v>
      </c>
      <c r="H1249" t="s">
        <v>106</v>
      </c>
      <c r="I1249" s="1">
        <v>1.5</v>
      </c>
      <c r="J1249" s="1">
        <v>1.46</v>
      </c>
      <c r="K1249" t="s">
        <v>457</v>
      </c>
      <c r="L1249" s="1">
        <v>1.6</v>
      </c>
    </row>
    <row r="1250" spans="1:12">
      <c r="A1250" t="s">
        <v>1162</v>
      </c>
      <c r="B1250">
        <v>380641</v>
      </c>
      <c r="C1250" s="2" t="str">
        <f>"500B03"</f>
        <v>500B03</v>
      </c>
      <c r="D1250" t="s">
        <v>1273</v>
      </c>
      <c r="E1250" t="s">
        <v>4</v>
      </c>
      <c r="F1250">
        <v>10.98</v>
      </c>
      <c r="G1250">
        <v>1.83</v>
      </c>
      <c r="H1250" t="s">
        <v>20</v>
      </c>
      <c r="I1250" s="1">
        <v>20.89</v>
      </c>
      <c r="J1250" s="1">
        <v>20.350000000000001</v>
      </c>
      <c r="K1250" t="s">
        <v>1274</v>
      </c>
      <c r="L1250" s="1">
        <v>22.38</v>
      </c>
    </row>
    <row r="1251" spans="1:12">
      <c r="A1251" t="s">
        <v>1162</v>
      </c>
      <c r="B1251">
        <v>380640</v>
      </c>
      <c r="C1251" s="2" t="str">
        <f>"500M20"</f>
        <v>500M20</v>
      </c>
      <c r="D1251" t="s">
        <v>1275</v>
      </c>
      <c r="E1251" t="s">
        <v>4</v>
      </c>
      <c r="F1251">
        <v>10.98</v>
      </c>
      <c r="G1251">
        <v>1.83</v>
      </c>
      <c r="H1251" t="s">
        <v>20</v>
      </c>
      <c r="I1251" s="1">
        <v>20.89</v>
      </c>
      <c r="J1251" s="1">
        <v>20.350000000000001</v>
      </c>
      <c r="K1251" t="s">
        <v>1274</v>
      </c>
      <c r="L1251" s="1">
        <v>22.38</v>
      </c>
    </row>
    <row r="1252" spans="1:12">
      <c r="A1252" t="s">
        <v>1162</v>
      </c>
      <c r="B1252">
        <v>420360</v>
      </c>
      <c r="C1252" s="2" t="str">
        <f>"5024EA29AF010"</f>
        <v>5024EA29AF010</v>
      </c>
      <c r="D1252" t="s">
        <v>1276</v>
      </c>
      <c r="E1252" t="s">
        <v>4</v>
      </c>
      <c r="F1252">
        <v>5</v>
      </c>
      <c r="H1252" t="s">
        <v>5</v>
      </c>
      <c r="I1252" s="1">
        <v>106.35</v>
      </c>
      <c r="J1252" s="1">
        <v>95.72</v>
      </c>
      <c r="K1252" t="s">
        <v>6</v>
      </c>
    </row>
    <row r="1253" spans="1:12">
      <c r="A1253" t="s">
        <v>1162</v>
      </c>
      <c r="B1253">
        <v>420362</v>
      </c>
      <c r="C1253" s="2" t="str">
        <f>"5024EA29AF046"</f>
        <v>5024EA29AF046</v>
      </c>
      <c r="D1253" t="s">
        <v>1277</v>
      </c>
      <c r="E1253" t="s">
        <v>4</v>
      </c>
      <c r="F1253">
        <v>5</v>
      </c>
      <c r="H1253" t="s">
        <v>5</v>
      </c>
      <c r="I1253" s="1">
        <v>106.35</v>
      </c>
      <c r="J1253" s="1">
        <v>95.72</v>
      </c>
      <c r="K1253" t="s">
        <v>6</v>
      </c>
    </row>
    <row r="1254" spans="1:12">
      <c r="A1254" t="s">
        <v>1162</v>
      </c>
      <c r="B1254">
        <v>423279</v>
      </c>
      <c r="C1254" s="2" t="str">
        <f>"51511554L001"</f>
        <v>51511554L001</v>
      </c>
      <c r="D1254" t="s">
        <v>1278</v>
      </c>
      <c r="E1254" t="s">
        <v>4</v>
      </c>
      <c r="F1254">
        <v>10</v>
      </c>
      <c r="H1254" t="s">
        <v>5</v>
      </c>
      <c r="I1254" s="1">
        <v>119.72</v>
      </c>
      <c r="J1254" s="1">
        <v>107.74</v>
      </c>
      <c r="K1254" t="s">
        <v>6</v>
      </c>
    </row>
    <row r="1255" spans="1:12">
      <c r="A1255" t="s">
        <v>1162</v>
      </c>
      <c r="B1255">
        <v>423290</v>
      </c>
      <c r="C1255" s="2" t="str">
        <f>"51531554L001"</f>
        <v>51531554L001</v>
      </c>
      <c r="D1255" t="s">
        <v>1279</v>
      </c>
      <c r="E1255" t="s">
        <v>4</v>
      </c>
      <c r="F1255">
        <v>10</v>
      </c>
      <c r="H1255" t="s">
        <v>5</v>
      </c>
      <c r="I1255" s="1">
        <v>119.72</v>
      </c>
      <c r="J1255" s="1">
        <v>107.74</v>
      </c>
      <c r="K1255" t="s">
        <v>6</v>
      </c>
    </row>
    <row r="1256" spans="1:12">
      <c r="A1256" t="s">
        <v>1162</v>
      </c>
      <c r="B1256">
        <v>420366</v>
      </c>
      <c r="C1256" s="2" t="str">
        <f>"53695252SMDF"</f>
        <v>53695252SMDF</v>
      </c>
      <c r="D1256" t="s">
        <v>1280</v>
      </c>
      <c r="E1256" t="s">
        <v>4</v>
      </c>
      <c r="F1256">
        <v>11</v>
      </c>
      <c r="H1256" t="s">
        <v>5</v>
      </c>
      <c r="I1256" s="1">
        <v>80.290000000000006</v>
      </c>
      <c r="J1256" s="1">
        <v>72.25</v>
      </c>
      <c r="K1256" t="s">
        <v>6</v>
      </c>
    </row>
    <row r="1257" spans="1:12">
      <c r="A1257" t="s">
        <v>1162</v>
      </c>
      <c r="B1257">
        <v>420367</v>
      </c>
      <c r="C1257" s="2" t="str">
        <f>"536952AITMDF"</f>
        <v>536952AITMDF</v>
      </c>
      <c r="D1257" t="s">
        <v>1281</v>
      </c>
      <c r="E1257" t="s">
        <v>4</v>
      </c>
      <c r="F1257">
        <v>2</v>
      </c>
      <c r="H1257" t="s">
        <v>5</v>
      </c>
      <c r="I1257" s="1">
        <v>42.2</v>
      </c>
      <c r="J1257" s="1">
        <v>37.979999999999997</v>
      </c>
      <c r="K1257" t="s">
        <v>6</v>
      </c>
    </row>
    <row r="1258" spans="1:12">
      <c r="A1258" t="s">
        <v>1162</v>
      </c>
      <c r="B1258">
        <v>420363</v>
      </c>
      <c r="C1258" s="2" t="str">
        <f>"53782020NM010"</f>
        <v>53782020NM010</v>
      </c>
      <c r="D1258" t="s">
        <v>1282</v>
      </c>
      <c r="E1258" t="s">
        <v>4</v>
      </c>
      <c r="F1258">
        <v>2</v>
      </c>
      <c r="H1258" t="s">
        <v>5</v>
      </c>
      <c r="I1258" s="1">
        <v>18.88</v>
      </c>
      <c r="J1258" s="1">
        <v>16.989999999999998</v>
      </c>
      <c r="K1258" t="s">
        <v>6</v>
      </c>
    </row>
    <row r="1259" spans="1:12">
      <c r="A1259" t="s">
        <v>1162</v>
      </c>
      <c r="B1259">
        <v>482114</v>
      </c>
      <c r="C1259" s="2" t="str">
        <f>"53782020NM046"</f>
        <v>53782020NM046</v>
      </c>
      <c r="D1259" t="s">
        <v>1283</v>
      </c>
      <c r="E1259" t="s">
        <v>4</v>
      </c>
      <c r="F1259">
        <v>2.4</v>
      </c>
      <c r="H1259" t="s">
        <v>5</v>
      </c>
      <c r="I1259" s="1">
        <v>22.78</v>
      </c>
      <c r="J1259" s="1">
        <v>20.5</v>
      </c>
      <c r="K1259" t="s">
        <v>6</v>
      </c>
    </row>
    <row r="1260" spans="1:12">
      <c r="A1260" t="s">
        <v>1162</v>
      </c>
      <c r="B1260">
        <v>420365</v>
      </c>
      <c r="C1260" s="2" t="str">
        <f>"53782020NMD064"</f>
        <v>53782020NMD064</v>
      </c>
      <c r="D1260" t="s">
        <v>1284</v>
      </c>
      <c r="E1260" t="s">
        <v>4</v>
      </c>
      <c r="F1260">
        <v>2</v>
      </c>
      <c r="H1260" t="s">
        <v>5</v>
      </c>
      <c r="I1260" s="1">
        <v>22.78</v>
      </c>
      <c r="J1260" s="1">
        <v>20.5</v>
      </c>
      <c r="K1260" t="s">
        <v>6</v>
      </c>
    </row>
    <row r="1261" spans="1:12">
      <c r="A1261" t="s">
        <v>1162</v>
      </c>
      <c r="B1261">
        <v>397502</v>
      </c>
      <c r="C1261" s="2" t="str">
        <f>"5501207"</f>
        <v>5501207</v>
      </c>
      <c r="D1261" t="s">
        <v>1285</v>
      </c>
      <c r="E1261" t="s">
        <v>4</v>
      </c>
      <c r="F1261">
        <v>2.25</v>
      </c>
      <c r="H1261" t="s">
        <v>5</v>
      </c>
      <c r="I1261" s="1">
        <v>17.489999999999998</v>
      </c>
      <c r="J1261" s="1">
        <v>17.03</v>
      </c>
      <c r="K1261" t="s">
        <v>6</v>
      </c>
    </row>
    <row r="1262" spans="1:12">
      <c r="A1262" t="s">
        <v>1162</v>
      </c>
      <c r="B1262">
        <v>397509</v>
      </c>
      <c r="C1262" s="2" t="str">
        <f>"550907"</f>
        <v>550907</v>
      </c>
      <c r="D1262" t="s">
        <v>1286</v>
      </c>
      <c r="E1262" t="s">
        <v>4</v>
      </c>
      <c r="F1262">
        <v>5.75</v>
      </c>
      <c r="H1262" t="s">
        <v>5</v>
      </c>
      <c r="I1262" s="1">
        <v>45.8</v>
      </c>
      <c r="J1262" s="1">
        <v>44.59</v>
      </c>
      <c r="K1262" t="s">
        <v>6</v>
      </c>
    </row>
    <row r="1263" spans="1:12">
      <c r="A1263" t="s">
        <v>1162</v>
      </c>
      <c r="B1263">
        <v>377039</v>
      </c>
      <c r="C1263" s="2" t="str">
        <f>"554407"</f>
        <v>554407</v>
      </c>
      <c r="D1263" t="s">
        <v>1287</v>
      </c>
      <c r="E1263" t="s">
        <v>4</v>
      </c>
      <c r="F1263">
        <v>4.3</v>
      </c>
      <c r="H1263" t="s">
        <v>5</v>
      </c>
      <c r="I1263" s="1">
        <v>42.58</v>
      </c>
      <c r="J1263" s="1">
        <v>41.44</v>
      </c>
      <c r="K1263" t="s">
        <v>6</v>
      </c>
    </row>
    <row r="1264" spans="1:12">
      <c r="A1264" t="s">
        <v>1162</v>
      </c>
      <c r="B1264">
        <v>380643</v>
      </c>
      <c r="C1264" s="2" t="str">
        <f>"575B03"</f>
        <v>575B03</v>
      </c>
      <c r="D1264" t="s">
        <v>1288</v>
      </c>
      <c r="E1264" t="s">
        <v>4</v>
      </c>
      <c r="F1264">
        <v>10.02</v>
      </c>
      <c r="G1264">
        <v>1.67</v>
      </c>
      <c r="H1264" t="s">
        <v>20</v>
      </c>
      <c r="I1264" s="1">
        <v>24.23</v>
      </c>
      <c r="J1264" s="1">
        <v>23.6</v>
      </c>
      <c r="K1264" t="s">
        <v>1274</v>
      </c>
      <c r="L1264" s="1">
        <v>25.95</v>
      </c>
    </row>
    <row r="1265" spans="1:12">
      <c r="A1265" t="s">
        <v>1162</v>
      </c>
      <c r="B1265">
        <v>380642</v>
      </c>
      <c r="C1265" s="2" t="str">
        <f>"575M20"</f>
        <v>575M20</v>
      </c>
      <c r="D1265" t="s">
        <v>1289</v>
      </c>
      <c r="E1265" t="s">
        <v>4</v>
      </c>
      <c r="F1265">
        <v>10.02</v>
      </c>
      <c r="G1265">
        <v>1.67</v>
      </c>
      <c r="H1265" t="s">
        <v>20</v>
      </c>
      <c r="I1265" s="1">
        <v>24.23</v>
      </c>
      <c r="J1265" s="1">
        <v>23.6</v>
      </c>
      <c r="K1265" t="s">
        <v>1274</v>
      </c>
      <c r="L1265" s="1">
        <v>25.95</v>
      </c>
    </row>
    <row r="1266" spans="1:12">
      <c r="A1266" t="s">
        <v>1162</v>
      </c>
      <c r="B1266">
        <v>390045</v>
      </c>
      <c r="C1266" s="2" t="str">
        <f>"60354RS"</f>
        <v>60354RS</v>
      </c>
      <c r="D1266" t="s">
        <v>1290</v>
      </c>
      <c r="E1266" t="s">
        <v>4</v>
      </c>
      <c r="F1266">
        <v>3.67</v>
      </c>
      <c r="H1266" t="s">
        <v>5</v>
      </c>
      <c r="I1266" s="1">
        <v>51.51</v>
      </c>
      <c r="J1266" s="1">
        <v>50.14</v>
      </c>
      <c r="K1266" t="s">
        <v>6</v>
      </c>
    </row>
    <row r="1267" spans="1:12">
      <c r="A1267" t="s">
        <v>1162</v>
      </c>
      <c r="B1267">
        <v>390048</v>
      </c>
      <c r="C1267" s="2" t="str">
        <f>"604010"</f>
        <v>604010</v>
      </c>
      <c r="D1267" t="s">
        <v>1291</v>
      </c>
      <c r="E1267" t="s">
        <v>4</v>
      </c>
      <c r="F1267">
        <v>1.17</v>
      </c>
      <c r="H1267" t="s">
        <v>5</v>
      </c>
      <c r="I1267" s="1">
        <v>12.45</v>
      </c>
      <c r="J1267" s="1">
        <v>12.12</v>
      </c>
      <c r="K1267" t="s">
        <v>6</v>
      </c>
    </row>
    <row r="1268" spans="1:12">
      <c r="A1268" t="s">
        <v>1162</v>
      </c>
      <c r="B1268">
        <v>390047</v>
      </c>
      <c r="C1268" s="2" t="str">
        <f>"604018"</f>
        <v>604018</v>
      </c>
      <c r="D1268" t="s">
        <v>1292</v>
      </c>
      <c r="E1268" t="s">
        <v>4</v>
      </c>
      <c r="F1268">
        <v>3.33</v>
      </c>
      <c r="H1268" t="s">
        <v>5</v>
      </c>
      <c r="I1268" s="1">
        <v>34.07</v>
      </c>
      <c r="J1268" s="1">
        <v>33.18</v>
      </c>
      <c r="K1268" t="s">
        <v>6</v>
      </c>
    </row>
    <row r="1269" spans="1:12">
      <c r="A1269" t="s">
        <v>1162</v>
      </c>
      <c r="B1269">
        <v>423214</v>
      </c>
      <c r="C1269" s="2" t="str">
        <f>"607004"</f>
        <v>607004</v>
      </c>
      <c r="D1269" t="s">
        <v>1293</v>
      </c>
      <c r="E1269" t="s">
        <v>4</v>
      </c>
      <c r="F1269">
        <v>19.8</v>
      </c>
      <c r="G1269">
        <v>3.3</v>
      </c>
      <c r="H1269" t="s">
        <v>20</v>
      </c>
      <c r="I1269" s="1">
        <v>42.32</v>
      </c>
      <c r="J1269" s="1">
        <v>41.21</v>
      </c>
      <c r="K1269" t="s">
        <v>457</v>
      </c>
      <c r="L1269" s="1">
        <v>45.33</v>
      </c>
    </row>
    <row r="1270" spans="1:12">
      <c r="A1270" t="s">
        <v>1162</v>
      </c>
      <c r="B1270">
        <v>423251</v>
      </c>
      <c r="C1270" s="2" t="str">
        <f>"6070A"</f>
        <v>6070A</v>
      </c>
      <c r="D1270" t="s">
        <v>1294</v>
      </c>
      <c r="E1270" t="s">
        <v>4</v>
      </c>
      <c r="F1270">
        <v>6</v>
      </c>
      <c r="G1270">
        <v>0.5</v>
      </c>
      <c r="H1270" t="s">
        <v>106</v>
      </c>
      <c r="I1270" s="1">
        <v>7.28</v>
      </c>
      <c r="J1270" s="1">
        <v>7.09</v>
      </c>
      <c r="K1270" t="s">
        <v>457</v>
      </c>
      <c r="L1270" s="1">
        <v>7.79</v>
      </c>
    </row>
    <row r="1271" spans="1:12">
      <c r="A1271" t="s">
        <v>1162</v>
      </c>
      <c r="B1271">
        <v>423219</v>
      </c>
      <c r="C1271" s="2" t="str">
        <f>"607122"</f>
        <v>607122</v>
      </c>
      <c r="D1271" t="s">
        <v>1295</v>
      </c>
      <c r="E1271" t="s">
        <v>4</v>
      </c>
      <c r="F1271">
        <v>9</v>
      </c>
      <c r="G1271">
        <v>1.5</v>
      </c>
      <c r="H1271" t="s">
        <v>20</v>
      </c>
      <c r="I1271" s="1">
        <v>19.54</v>
      </c>
      <c r="J1271" s="1">
        <v>19.02</v>
      </c>
      <c r="K1271" t="s">
        <v>457</v>
      </c>
      <c r="L1271" s="1">
        <v>20.92</v>
      </c>
    </row>
    <row r="1272" spans="1:12">
      <c r="A1272" t="s">
        <v>1162</v>
      </c>
      <c r="B1272">
        <v>423222</v>
      </c>
      <c r="C1272" s="2" t="str">
        <f>"607124P"</f>
        <v>607124P</v>
      </c>
      <c r="D1272" t="s">
        <v>1296</v>
      </c>
      <c r="E1272" t="s">
        <v>4</v>
      </c>
      <c r="F1272">
        <v>9.6</v>
      </c>
      <c r="G1272">
        <v>1.6</v>
      </c>
      <c r="H1272" t="s">
        <v>20</v>
      </c>
      <c r="I1272" s="1">
        <v>38.92</v>
      </c>
      <c r="J1272" s="1">
        <v>37.909999999999997</v>
      </c>
      <c r="K1272" t="s">
        <v>457</v>
      </c>
      <c r="L1272" s="1">
        <v>41.7</v>
      </c>
    </row>
    <row r="1273" spans="1:12">
      <c r="A1273" t="s">
        <v>1162</v>
      </c>
      <c r="B1273">
        <v>424145</v>
      </c>
      <c r="C1273" s="2" t="str">
        <f>"607130CS"</f>
        <v>607130CS</v>
      </c>
      <c r="D1273" t="s">
        <v>1297</v>
      </c>
      <c r="E1273" t="s">
        <v>4</v>
      </c>
      <c r="F1273">
        <v>4.5</v>
      </c>
      <c r="G1273">
        <v>0.75</v>
      </c>
      <c r="H1273" t="s">
        <v>20</v>
      </c>
      <c r="I1273" s="1">
        <v>14.69</v>
      </c>
      <c r="J1273" s="1">
        <v>14.31</v>
      </c>
      <c r="K1273" t="s">
        <v>457</v>
      </c>
      <c r="L1273" s="1">
        <v>15.74</v>
      </c>
    </row>
    <row r="1274" spans="1:12">
      <c r="A1274" t="s">
        <v>1162</v>
      </c>
      <c r="B1274">
        <v>423225</v>
      </c>
      <c r="C1274" s="2" t="str">
        <f>"607134"</f>
        <v>607134</v>
      </c>
      <c r="D1274" t="s">
        <v>1298</v>
      </c>
      <c r="E1274" t="s">
        <v>4</v>
      </c>
      <c r="F1274">
        <v>9.6</v>
      </c>
      <c r="G1274">
        <v>1.6</v>
      </c>
      <c r="H1274" t="s">
        <v>20</v>
      </c>
      <c r="I1274" s="1">
        <v>23.14</v>
      </c>
      <c r="J1274" s="1">
        <v>22.53</v>
      </c>
      <c r="K1274" t="s">
        <v>457</v>
      </c>
      <c r="L1274" s="1">
        <v>24.78</v>
      </c>
    </row>
    <row r="1275" spans="1:12">
      <c r="A1275" t="s">
        <v>1162</v>
      </c>
      <c r="B1275">
        <v>423250</v>
      </c>
      <c r="C1275" s="2" t="str">
        <f>"6071A"</f>
        <v>6071A</v>
      </c>
      <c r="D1275" t="s">
        <v>1299</v>
      </c>
      <c r="E1275" t="s">
        <v>4</v>
      </c>
      <c r="F1275">
        <v>3</v>
      </c>
      <c r="G1275">
        <v>0.25</v>
      </c>
      <c r="H1275" t="s">
        <v>106</v>
      </c>
      <c r="I1275" s="1">
        <v>5.17</v>
      </c>
      <c r="J1275" s="1">
        <v>5.04</v>
      </c>
      <c r="K1275" t="s">
        <v>457</v>
      </c>
      <c r="L1275" s="1">
        <v>5.55</v>
      </c>
    </row>
    <row r="1276" spans="1:12">
      <c r="A1276" t="s">
        <v>1162</v>
      </c>
      <c r="B1276">
        <v>380668</v>
      </c>
      <c r="C1276" s="2" t="str">
        <f>"629503"</f>
        <v>629503</v>
      </c>
      <c r="D1276" t="s">
        <v>1300</v>
      </c>
      <c r="E1276" t="s">
        <v>4</v>
      </c>
      <c r="F1276">
        <v>0.96</v>
      </c>
      <c r="G1276">
        <v>0.08</v>
      </c>
      <c r="H1276" t="s">
        <v>106</v>
      </c>
      <c r="I1276" s="1">
        <v>2.42</v>
      </c>
      <c r="J1276" s="1">
        <v>2.35</v>
      </c>
      <c r="K1276" t="s">
        <v>457</v>
      </c>
      <c r="L1276" s="1">
        <v>2.59</v>
      </c>
    </row>
    <row r="1277" spans="1:12">
      <c r="A1277" t="s">
        <v>1162</v>
      </c>
      <c r="B1277">
        <v>380669</v>
      </c>
      <c r="C1277" s="2" t="str">
        <f>"629506"</f>
        <v>629506</v>
      </c>
      <c r="D1277" t="s">
        <v>1301</v>
      </c>
      <c r="E1277" t="s">
        <v>4</v>
      </c>
      <c r="F1277">
        <v>0.96</v>
      </c>
      <c r="G1277">
        <v>0.08</v>
      </c>
      <c r="H1277" t="s">
        <v>106</v>
      </c>
      <c r="I1277" s="1">
        <v>2.42</v>
      </c>
      <c r="J1277" s="1">
        <v>2.35</v>
      </c>
      <c r="K1277" t="s">
        <v>457</v>
      </c>
      <c r="L1277" s="1">
        <v>2.59</v>
      </c>
    </row>
    <row r="1278" spans="1:12">
      <c r="A1278" t="s">
        <v>1162</v>
      </c>
      <c r="B1278">
        <v>443326</v>
      </c>
      <c r="C1278" s="2" t="str">
        <f>"652603"</f>
        <v>652603</v>
      </c>
      <c r="D1278" t="s">
        <v>1302</v>
      </c>
      <c r="E1278" t="s">
        <v>4</v>
      </c>
      <c r="F1278">
        <v>8</v>
      </c>
      <c r="H1278" t="s">
        <v>5</v>
      </c>
      <c r="I1278" s="1">
        <v>96.99</v>
      </c>
      <c r="J1278" s="1">
        <v>94.45</v>
      </c>
      <c r="K1278" t="s">
        <v>6</v>
      </c>
    </row>
    <row r="1279" spans="1:12">
      <c r="A1279" t="s">
        <v>1162</v>
      </c>
      <c r="B1279">
        <v>396790</v>
      </c>
      <c r="C1279" s="2" t="str">
        <f>"690707"</f>
        <v>690707</v>
      </c>
      <c r="D1279" t="s">
        <v>1303</v>
      </c>
      <c r="E1279" t="s">
        <v>4</v>
      </c>
      <c r="F1279">
        <v>12.65</v>
      </c>
      <c r="H1279" t="s">
        <v>5</v>
      </c>
      <c r="I1279" s="1">
        <v>174.95</v>
      </c>
      <c r="J1279" s="1">
        <v>170.35</v>
      </c>
      <c r="K1279" t="s">
        <v>6</v>
      </c>
    </row>
    <row r="1280" spans="1:12">
      <c r="A1280" t="s">
        <v>1162</v>
      </c>
      <c r="B1280">
        <v>380755</v>
      </c>
      <c r="C1280" s="2" t="str">
        <f>"691707"</f>
        <v>691707</v>
      </c>
      <c r="D1280" t="s">
        <v>1304</v>
      </c>
      <c r="E1280" t="s">
        <v>4</v>
      </c>
      <c r="F1280">
        <v>8.0399999999999991</v>
      </c>
      <c r="G1280">
        <v>2.0099999999999998</v>
      </c>
      <c r="H1280" t="s">
        <v>153</v>
      </c>
      <c r="I1280" s="1">
        <v>22.85</v>
      </c>
      <c r="J1280" s="1">
        <v>22.26</v>
      </c>
      <c r="K1280" t="s">
        <v>457</v>
      </c>
      <c r="L1280" s="1">
        <v>24.48</v>
      </c>
    </row>
    <row r="1281" spans="1:12">
      <c r="A1281" t="s">
        <v>1162</v>
      </c>
      <c r="B1281">
        <v>380756</v>
      </c>
      <c r="C1281" s="2" t="str">
        <f>"691907"</f>
        <v>691907</v>
      </c>
      <c r="D1281" t="s">
        <v>1305</v>
      </c>
      <c r="E1281" t="s">
        <v>4</v>
      </c>
      <c r="F1281">
        <v>13</v>
      </c>
      <c r="G1281">
        <v>3.25</v>
      </c>
      <c r="H1281" t="s">
        <v>153</v>
      </c>
      <c r="I1281" s="1">
        <v>34.479999999999997</v>
      </c>
      <c r="J1281" s="1">
        <v>33.58</v>
      </c>
      <c r="K1281" t="s">
        <v>457</v>
      </c>
      <c r="L1281" s="1">
        <v>36.94</v>
      </c>
    </row>
    <row r="1282" spans="1:12">
      <c r="A1282" t="s">
        <v>1162</v>
      </c>
      <c r="B1282">
        <v>428270</v>
      </c>
      <c r="C1282" s="2" t="str">
        <f>"693107"</f>
        <v>693107</v>
      </c>
      <c r="D1282" t="s">
        <v>1306</v>
      </c>
      <c r="E1282" t="s">
        <v>4</v>
      </c>
      <c r="F1282">
        <v>4.0999999999999996</v>
      </c>
      <c r="H1282" t="s">
        <v>5</v>
      </c>
      <c r="I1282" s="1">
        <v>41.44</v>
      </c>
      <c r="J1282" s="1">
        <v>40.35</v>
      </c>
      <c r="K1282" t="s">
        <v>6</v>
      </c>
    </row>
    <row r="1283" spans="1:12">
      <c r="A1283" t="s">
        <v>1162</v>
      </c>
      <c r="B1283">
        <v>380754</v>
      </c>
      <c r="C1283" s="2" t="str">
        <f>"694707"</f>
        <v>694707</v>
      </c>
      <c r="D1283" t="s">
        <v>1307</v>
      </c>
      <c r="E1283" t="s">
        <v>4</v>
      </c>
      <c r="F1283">
        <v>15.78</v>
      </c>
      <c r="G1283">
        <v>2.63</v>
      </c>
      <c r="H1283" t="s">
        <v>20</v>
      </c>
      <c r="I1283" s="1">
        <v>38.270000000000003</v>
      </c>
      <c r="J1283" s="1">
        <v>37.270000000000003</v>
      </c>
      <c r="K1283" t="s">
        <v>457</v>
      </c>
      <c r="L1283" s="1">
        <v>41</v>
      </c>
    </row>
    <row r="1284" spans="1:12">
      <c r="A1284" t="s">
        <v>1162</v>
      </c>
      <c r="B1284">
        <v>397762</v>
      </c>
      <c r="C1284" s="2" t="str">
        <f>"695407"</f>
        <v>695407</v>
      </c>
      <c r="D1284" t="s">
        <v>1308</v>
      </c>
      <c r="E1284" t="s">
        <v>4</v>
      </c>
      <c r="F1284">
        <v>10.35</v>
      </c>
      <c r="H1284" t="s">
        <v>5</v>
      </c>
      <c r="I1284" s="1">
        <v>141.83000000000001</v>
      </c>
      <c r="J1284" s="1">
        <v>138.1</v>
      </c>
      <c r="K1284" t="s">
        <v>6</v>
      </c>
    </row>
    <row r="1285" spans="1:12">
      <c r="A1285" t="s">
        <v>1162</v>
      </c>
      <c r="B1285">
        <v>380644</v>
      </c>
      <c r="C1285" s="2" t="str">
        <f>"800B03"</f>
        <v>800B03</v>
      </c>
      <c r="D1285" t="s">
        <v>1309</v>
      </c>
      <c r="E1285" t="s">
        <v>4</v>
      </c>
      <c r="F1285">
        <v>19.920000000000002</v>
      </c>
      <c r="G1285">
        <v>4.9800000000000004</v>
      </c>
      <c r="H1285" t="s">
        <v>153</v>
      </c>
      <c r="I1285" s="1">
        <v>49.21</v>
      </c>
      <c r="J1285" s="1">
        <v>47.91</v>
      </c>
      <c r="K1285" t="s">
        <v>1274</v>
      </c>
      <c r="L1285" s="1">
        <v>52.7</v>
      </c>
    </row>
    <row r="1286" spans="1:12">
      <c r="A1286" t="s">
        <v>1162</v>
      </c>
      <c r="B1286">
        <v>380675</v>
      </c>
      <c r="C1286" s="2" t="str">
        <f>"829503"</f>
        <v>829503</v>
      </c>
      <c r="D1286" t="s">
        <v>1310</v>
      </c>
      <c r="E1286" t="s">
        <v>4</v>
      </c>
      <c r="F1286">
        <v>0.96</v>
      </c>
      <c r="G1286">
        <v>0.08</v>
      </c>
      <c r="H1286" t="s">
        <v>106</v>
      </c>
      <c r="I1286" s="1">
        <v>2.42</v>
      </c>
      <c r="J1286" s="1">
        <v>2.35</v>
      </c>
      <c r="K1286" t="s">
        <v>457</v>
      </c>
      <c r="L1286" s="1">
        <v>2.59</v>
      </c>
    </row>
    <row r="1287" spans="1:12">
      <c r="A1287" t="s">
        <v>1162</v>
      </c>
      <c r="B1287">
        <v>380677</v>
      </c>
      <c r="C1287" s="2" t="str">
        <f>"829506"</f>
        <v>829506</v>
      </c>
      <c r="D1287" t="s">
        <v>1311</v>
      </c>
      <c r="E1287" t="s">
        <v>4</v>
      </c>
      <c r="F1287">
        <v>0.96</v>
      </c>
      <c r="G1287">
        <v>0.08</v>
      </c>
      <c r="H1287" t="s">
        <v>106</v>
      </c>
      <c r="I1287" s="1">
        <v>2.42</v>
      </c>
      <c r="J1287" s="1">
        <v>2.35</v>
      </c>
      <c r="K1287" t="s">
        <v>457</v>
      </c>
      <c r="L1287" s="1">
        <v>2.59</v>
      </c>
    </row>
    <row r="1288" spans="1:12">
      <c r="A1288" t="s">
        <v>1162</v>
      </c>
      <c r="B1288">
        <v>380780</v>
      </c>
      <c r="C1288" s="2" t="str">
        <f>"BC0503"</f>
        <v>BC0503</v>
      </c>
      <c r="D1288" t="s">
        <v>1312</v>
      </c>
      <c r="E1288" t="s">
        <v>4</v>
      </c>
      <c r="F1288">
        <v>15.84</v>
      </c>
      <c r="G1288">
        <v>1.32</v>
      </c>
      <c r="H1288" t="s">
        <v>106</v>
      </c>
      <c r="I1288" s="1">
        <v>11.64</v>
      </c>
      <c r="J1288" s="1">
        <v>11.32</v>
      </c>
      <c r="K1288" t="s">
        <v>457</v>
      </c>
      <c r="L1288" s="1">
        <v>12.46</v>
      </c>
    </row>
    <row r="1289" spans="1:12">
      <c r="A1289" t="s">
        <v>1162</v>
      </c>
      <c r="B1289">
        <v>380787</v>
      </c>
      <c r="C1289" s="2" t="str">
        <f>"EP21400"</f>
        <v>EP21400</v>
      </c>
      <c r="D1289" t="s">
        <v>1313</v>
      </c>
      <c r="E1289" t="s">
        <v>4</v>
      </c>
      <c r="F1289">
        <v>0.67</v>
      </c>
      <c r="H1289" t="s">
        <v>5</v>
      </c>
      <c r="I1289" s="1">
        <v>79.73</v>
      </c>
      <c r="J1289" s="1">
        <v>77.64</v>
      </c>
      <c r="K1289" t="s">
        <v>6</v>
      </c>
    </row>
    <row r="1290" spans="1:12">
      <c r="A1290" t="s">
        <v>1162</v>
      </c>
      <c r="B1290">
        <v>380789</v>
      </c>
      <c r="C1290" s="2" t="str">
        <f>"EP21600"</f>
        <v>EP21600</v>
      </c>
      <c r="D1290" t="s">
        <v>1314</v>
      </c>
      <c r="E1290" t="s">
        <v>4</v>
      </c>
      <c r="F1290">
        <v>0.67</v>
      </c>
      <c r="H1290" t="s">
        <v>5</v>
      </c>
      <c r="I1290" s="1">
        <v>79.73</v>
      </c>
      <c r="J1290" s="1">
        <v>77.64</v>
      </c>
      <c r="K1290" t="s">
        <v>6</v>
      </c>
    </row>
    <row r="1291" spans="1:12">
      <c r="A1291" t="s">
        <v>1162</v>
      </c>
      <c r="B1291">
        <v>380790</v>
      </c>
      <c r="C1291" s="2" t="str">
        <f>"EP21700"</f>
        <v>EP21700</v>
      </c>
      <c r="D1291" t="s">
        <v>1315</v>
      </c>
      <c r="E1291" t="s">
        <v>4</v>
      </c>
      <c r="F1291">
        <v>0.67</v>
      </c>
      <c r="H1291" t="s">
        <v>5</v>
      </c>
      <c r="I1291" s="1">
        <v>79.73</v>
      </c>
      <c r="J1291" s="1">
        <v>77.64</v>
      </c>
      <c r="K1291" t="s">
        <v>6</v>
      </c>
    </row>
    <row r="1292" spans="1:12">
      <c r="A1292" t="s">
        <v>1162</v>
      </c>
      <c r="B1292">
        <v>380747</v>
      </c>
      <c r="C1292" s="2" t="str">
        <f>"HL723700"</f>
        <v>HL723700</v>
      </c>
      <c r="D1292" t="s">
        <v>1316</v>
      </c>
      <c r="E1292" t="s">
        <v>4</v>
      </c>
      <c r="F1292">
        <v>9.4</v>
      </c>
      <c r="H1292" t="s">
        <v>5</v>
      </c>
      <c r="I1292" s="1">
        <v>223.18</v>
      </c>
      <c r="J1292" s="1">
        <v>217.32</v>
      </c>
      <c r="K1292" t="s">
        <v>6</v>
      </c>
    </row>
    <row r="1293" spans="1:12">
      <c r="A1293" t="s">
        <v>1162</v>
      </c>
      <c r="B1293">
        <v>380750</v>
      </c>
      <c r="C1293" s="2" t="str">
        <f>"HL8195B00"</f>
        <v>HL8195B00</v>
      </c>
      <c r="D1293" t="s">
        <v>1317</v>
      </c>
      <c r="E1293" t="s">
        <v>4</v>
      </c>
      <c r="F1293">
        <v>27.65</v>
      </c>
      <c r="H1293" t="s">
        <v>5</v>
      </c>
      <c r="I1293" s="1">
        <v>399.01</v>
      </c>
      <c r="J1293" s="1">
        <v>388.51</v>
      </c>
      <c r="K1293" t="s">
        <v>6</v>
      </c>
    </row>
    <row r="1294" spans="1:12">
      <c r="A1294" t="s">
        <v>1162</v>
      </c>
      <c r="B1294">
        <v>380681</v>
      </c>
      <c r="C1294" s="2" t="str">
        <f>"KL10225"</f>
        <v>KL10225</v>
      </c>
      <c r="D1294" t="s">
        <v>1318</v>
      </c>
      <c r="E1294" t="s">
        <v>4</v>
      </c>
      <c r="F1294">
        <v>24</v>
      </c>
      <c r="H1294" t="s">
        <v>5</v>
      </c>
      <c r="I1294" s="1">
        <v>174.58</v>
      </c>
      <c r="J1294" s="1">
        <v>169.99</v>
      </c>
      <c r="K1294" t="s">
        <v>6</v>
      </c>
    </row>
    <row r="1295" spans="1:12">
      <c r="A1295" t="s">
        <v>1162</v>
      </c>
      <c r="B1295">
        <v>380707</v>
      </c>
      <c r="C1295" s="2" t="str">
        <f>"KL10802"</f>
        <v>KL10802</v>
      </c>
      <c r="D1295" t="s">
        <v>1319</v>
      </c>
      <c r="E1295" t="s">
        <v>4</v>
      </c>
      <c r="F1295">
        <v>12</v>
      </c>
      <c r="H1295" t="s">
        <v>5</v>
      </c>
      <c r="I1295" s="1">
        <v>97.51</v>
      </c>
      <c r="J1295" s="1">
        <v>94.95</v>
      </c>
      <c r="K1295" t="s">
        <v>6</v>
      </c>
    </row>
    <row r="1296" spans="1:12">
      <c r="A1296" t="s">
        <v>1162</v>
      </c>
      <c r="B1296">
        <v>380696</v>
      </c>
      <c r="C1296" s="2" t="str">
        <f>"KL10825"</f>
        <v>KL10825</v>
      </c>
      <c r="D1296" t="s">
        <v>1320</v>
      </c>
      <c r="E1296" t="s">
        <v>4</v>
      </c>
      <c r="F1296">
        <v>12</v>
      </c>
      <c r="H1296" t="s">
        <v>5</v>
      </c>
      <c r="I1296" s="1">
        <v>97.51</v>
      </c>
      <c r="J1296" s="1">
        <v>94.95</v>
      </c>
      <c r="K1296" t="s">
        <v>6</v>
      </c>
    </row>
    <row r="1297" spans="1:11">
      <c r="A1297" t="s">
        <v>1162</v>
      </c>
      <c r="B1297">
        <v>380706</v>
      </c>
      <c r="C1297" s="2" t="str">
        <f>"KL11802"</f>
        <v>KL11802</v>
      </c>
      <c r="D1297" t="s">
        <v>1321</v>
      </c>
      <c r="E1297" t="s">
        <v>4</v>
      </c>
      <c r="F1297">
        <v>10.8</v>
      </c>
      <c r="H1297" t="s">
        <v>5</v>
      </c>
      <c r="I1297" s="1">
        <v>84.18</v>
      </c>
      <c r="J1297" s="1">
        <v>81.97</v>
      </c>
      <c r="K1297" t="s">
        <v>6</v>
      </c>
    </row>
    <row r="1298" spans="1:11">
      <c r="A1298" t="s">
        <v>1162</v>
      </c>
      <c r="B1298">
        <v>380695</v>
      </c>
      <c r="C1298" s="2" t="str">
        <f>"KL11825"</f>
        <v>KL11825</v>
      </c>
      <c r="D1298" t="s">
        <v>1322</v>
      </c>
      <c r="E1298" t="s">
        <v>4</v>
      </c>
      <c r="F1298">
        <v>10.8</v>
      </c>
      <c r="H1298" t="s">
        <v>5</v>
      </c>
      <c r="I1298" s="1">
        <v>84.18</v>
      </c>
      <c r="J1298" s="1">
        <v>81.97</v>
      </c>
      <c r="K1298" t="s">
        <v>6</v>
      </c>
    </row>
    <row r="1299" spans="1:11">
      <c r="A1299" t="s">
        <v>1162</v>
      </c>
      <c r="B1299">
        <v>386905</v>
      </c>
      <c r="C1299" s="2" t="str">
        <f>"KL12725"</f>
        <v>KL12725</v>
      </c>
      <c r="D1299" t="s">
        <v>1323</v>
      </c>
      <c r="E1299" t="s">
        <v>4</v>
      </c>
      <c r="F1299">
        <v>9</v>
      </c>
      <c r="H1299" t="s">
        <v>5</v>
      </c>
      <c r="I1299" s="1">
        <v>52.69</v>
      </c>
      <c r="J1299" s="1">
        <v>51.3</v>
      </c>
      <c r="K1299" t="s">
        <v>6</v>
      </c>
    </row>
    <row r="1300" spans="1:11">
      <c r="A1300" t="s">
        <v>1162</v>
      </c>
      <c r="B1300">
        <v>380700</v>
      </c>
      <c r="C1300" s="2" t="str">
        <f>"KL20002"</f>
        <v>KL20002</v>
      </c>
      <c r="D1300" t="s">
        <v>1324</v>
      </c>
      <c r="E1300" t="s">
        <v>4</v>
      </c>
      <c r="F1300">
        <v>19.2</v>
      </c>
      <c r="H1300" t="s">
        <v>5</v>
      </c>
      <c r="I1300" s="1">
        <v>154.13</v>
      </c>
      <c r="J1300" s="1">
        <v>150.07</v>
      </c>
      <c r="K1300" t="s">
        <v>6</v>
      </c>
    </row>
    <row r="1301" spans="1:11">
      <c r="A1301" t="s">
        <v>1162</v>
      </c>
      <c r="B1301">
        <v>380689</v>
      </c>
      <c r="C1301" s="2" t="str">
        <f>"KL20025"</f>
        <v>KL20025</v>
      </c>
      <c r="D1301" t="s">
        <v>1325</v>
      </c>
      <c r="E1301" t="s">
        <v>4</v>
      </c>
      <c r="F1301">
        <v>19.2</v>
      </c>
      <c r="H1301" t="s">
        <v>5</v>
      </c>
      <c r="I1301" s="1">
        <v>154.13</v>
      </c>
      <c r="J1301" s="1">
        <v>150.07</v>
      </c>
      <c r="K1301" t="s">
        <v>6</v>
      </c>
    </row>
    <row r="1302" spans="1:11">
      <c r="A1302" t="s">
        <v>1162</v>
      </c>
      <c r="B1302">
        <v>380701</v>
      </c>
      <c r="C1302" s="2" t="str">
        <f>"KL20102"</f>
        <v>KL20102</v>
      </c>
      <c r="D1302" t="s">
        <v>1326</v>
      </c>
      <c r="E1302" t="s">
        <v>4</v>
      </c>
      <c r="F1302">
        <v>12.2</v>
      </c>
      <c r="H1302" t="s">
        <v>5</v>
      </c>
      <c r="I1302" s="1">
        <v>117.38</v>
      </c>
      <c r="J1302" s="1">
        <v>114.28</v>
      </c>
      <c r="K1302" t="s">
        <v>6</v>
      </c>
    </row>
    <row r="1303" spans="1:11">
      <c r="A1303" t="s">
        <v>1162</v>
      </c>
      <c r="B1303">
        <v>380690</v>
      </c>
      <c r="C1303" s="2" t="str">
        <f>"KL20125"</f>
        <v>KL20125</v>
      </c>
      <c r="D1303" t="s">
        <v>1327</v>
      </c>
      <c r="E1303" t="s">
        <v>4</v>
      </c>
      <c r="F1303">
        <v>12.2</v>
      </c>
      <c r="H1303" t="s">
        <v>5</v>
      </c>
      <c r="I1303" s="1">
        <v>117.38</v>
      </c>
      <c r="J1303" s="1">
        <v>114.28</v>
      </c>
      <c r="K1303" t="s">
        <v>6</v>
      </c>
    </row>
    <row r="1304" spans="1:11">
      <c r="A1304" t="s">
        <v>1162</v>
      </c>
      <c r="B1304">
        <v>397760</v>
      </c>
      <c r="C1304" s="2" t="str">
        <f>"KL20302"</f>
        <v>KL20302</v>
      </c>
      <c r="D1304" t="s">
        <v>1328</v>
      </c>
      <c r="E1304" t="s">
        <v>4</v>
      </c>
      <c r="F1304">
        <v>7.6</v>
      </c>
      <c r="H1304" t="s">
        <v>5</v>
      </c>
      <c r="I1304" s="1">
        <v>53.21</v>
      </c>
      <c r="J1304" s="1">
        <v>51.81</v>
      </c>
      <c r="K1304" t="s">
        <v>6</v>
      </c>
    </row>
    <row r="1305" spans="1:11">
      <c r="A1305" t="s">
        <v>1162</v>
      </c>
      <c r="B1305">
        <v>397753</v>
      </c>
      <c r="C1305" s="2" t="str">
        <f>"KL20325"</f>
        <v>KL20325</v>
      </c>
      <c r="D1305" t="s">
        <v>1329</v>
      </c>
      <c r="E1305" t="s">
        <v>4</v>
      </c>
      <c r="F1305">
        <v>7.6</v>
      </c>
      <c r="H1305" t="s">
        <v>5</v>
      </c>
      <c r="I1305" s="1">
        <v>53.21</v>
      </c>
      <c r="J1305" s="1">
        <v>51.81</v>
      </c>
      <c r="K1305" t="s">
        <v>6</v>
      </c>
    </row>
    <row r="1306" spans="1:11">
      <c r="A1306" t="s">
        <v>1162</v>
      </c>
      <c r="B1306">
        <v>380702</v>
      </c>
      <c r="C1306" s="2" t="str">
        <f>"KL20402"</f>
        <v>KL20402</v>
      </c>
      <c r="D1306" t="s">
        <v>1330</v>
      </c>
      <c r="E1306" t="s">
        <v>4</v>
      </c>
      <c r="F1306">
        <v>12</v>
      </c>
      <c r="H1306" t="s">
        <v>5</v>
      </c>
      <c r="I1306" s="1">
        <v>94.85</v>
      </c>
      <c r="J1306" s="1">
        <v>92.35</v>
      </c>
      <c r="K1306" t="s">
        <v>6</v>
      </c>
    </row>
    <row r="1307" spans="1:11">
      <c r="A1307" t="s">
        <v>1162</v>
      </c>
      <c r="B1307">
        <v>380703</v>
      </c>
      <c r="C1307" s="2" t="str">
        <f>"KL20502"</f>
        <v>KL20502</v>
      </c>
      <c r="D1307" t="s">
        <v>1331</v>
      </c>
      <c r="E1307" t="s">
        <v>4</v>
      </c>
      <c r="F1307">
        <v>8.6999999999999993</v>
      </c>
      <c r="H1307" t="s">
        <v>5</v>
      </c>
      <c r="I1307" s="1">
        <v>82.99</v>
      </c>
      <c r="J1307" s="1">
        <v>80.81</v>
      </c>
      <c r="K1307" t="s">
        <v>6</v>
      </c>
    </row>
    <row r="1308" spans="1:11">
      <c r="A1308" t="s">
        <v>1162</v>
      </c>
      <c r="B1308">
        <v>388129</v>
      </c>
      <c r="C1308" s="2" t="str">
        <f>"KL80002"</f>
        <v>KL80002</v>
      </c>
      <c r="D1308" t="s">
        <v>1332</v>
      </c>
      <c r="E1308" t="s">
        <v>4</v>
      </c>
      <c r="F1308">
        <v>8.3000000000000007</v>
      </c>
      <c r="H1308" t="s">
        <v>5</v>
      </c>
      <c r="I1308" s="1">
        <v>69.95</v>
      </c>
      <c r="J1308" s="1">
        <v>68.11</v>
      </c>
      <c r="K1308" t="s">
        <v>6</v>
      </c>
    </row>
    <row r="1309" spans="1:11">
      <c r="A1309" t="s">
        <v>1162</v>
      </c>
      <c r="B1309">
        <v>380704</v>
      </c>
      <c r="C1309" s="2" t="str">
        <f>"KL80502"</f>
        <v>KL80502</v>
      </c>
      <c r="D1309" t="s">
        <v>1333</v>
      </c>
      <c r="E1309" t="s">
        <v>4</v>
      </c>
      <c r="F1309">
        <v>7</v>
      </c>
      <c r="H1309" t="s">
        <v>5</v>
      </c>
      <c r="I1309" s="1">
        <v>67.87</v>
      </c>
      <c r="J1309" s="1">
        <v>66.09</v>
      </c>
      <c r="K1309" t="s">
        <v>6</v>
      </c>
    </row>
    <row r="1310" spans="1:11">
      <c r="A1310" t="s">
        <v>1162</v>
      </c>
      <c r="B1310">
        <v>380693</v>
      </c>
      <c r="C1310" s="2" t="str">
        <f>"KL80525"</f>
        <v>KL80525</v>
      </c>
      <c r="D1310" t="s">
        <v>1334</v>
      </c>
      <c r="E1310" t="s">
        <v>4</v>
      </c>
      <c r="F1310">
        <v>7</v>
      </c>
      <c r="H1310" t="s">
        <v>5</v>
      </c>
      <c r="I1310" s="1">
        <v>67.87</v>
      </c>
      <c r="J1310" s="1">
        <v>66.09</v>
      </c>
      <c r="K1310" t="s">
        <v>6</v>
      </c>
    </row>
    <row r="1311" spans="1:11">
      <c r="A1311" t="s">
        <v>1162</v>
      </c>
      <c r="B1311">
        <v>380791</v>
      </c>
      <c r="C1311" s="2" t="str">
        <f>"OP30500"</f>
        <v>OP30500</v>
      </c>
      <c r="D1311" t="s">
        <v>1335</v>
      </c>
      <c r="E1311" t="s">
        <v>4</v>
      </c>
      <c r="F1311">
        <v>0.28000000000000003</v>
      </c>
      <c r="H1311" t="s">
        <v>5</v>
      </c>
      <c r="I1311" s="1">
        <v>3.78</v>
      </c>
      <c r="J1311" s="1">
        <v>3.68</v>
      </c>
      <c r="K1311" t="s">
        <v>6</v>
      </c>
    </row>
    <row r="1312" spans="1:11">
      <c r="A1312" t="s">
        <v>1162</v>
      </c>
      <c r="B1312">
        <v>380792</v>
      </c>
      <c r="C1312" s="2" t="str">
        <f>"OP31600"</f>
        <v>OP31600</v>
      </c>
      <c r="D1312" t="s">
        <v>1336</v>
      </c>
      <c r="E1312" t="s">
        <v>4</v>
      </c>
      <c r="F1312">
        <v>0.28000000000000003</v>
      </c>
      <c r="H1312" t="s">
        <v>5</v>
      </c>
      <c r="I1312" s="1">
        <v>3.78</v>
      </c>
      <c r="J1312" s="1">
        <v>3.68</v>
      </c>
      <c r="K1312" t="s">
        <v>6</v>
      </c>
    </row>
    <row r="1313" spans="1:12">
      <c r="A1313" t="s">
        <v>1162</v>
      </c>
      <c r="B1313">
        <v>398023</v>
      </c>
      <c r="C1313" s="2" t="str">
        <f>"OP37100"</f>
        <v>OP37100</v>
      </c>
      <c r="D1313" t="s">
        <v>1337</v>
      </c>
      <c r="E1313" t="s">
        <v>4</v>
      </c>
      <c r="F1313">
        <v>0.28000000000000003</v>
      </c>
      <c r="H1313" t="s">
        <v>5</v>
      </c>
      <c r="I1313" s="1">
        <v>15.34</v>
      </c>
      <c r="J1313" s="1">
        <v>14.94</v>
      </c>
      <c r="K1313" t="s">
        <v>6</v>
      </c>
    </row>
    <row r="1314" spans="1:12">
      <c r="A1314" t="s">
        <v>1162</v>
      </c>
      <c r="B1314">
        <v>388950</v>
      </c>
      <c r="C1314" s="2" t="str">
        <f>"PS103AT00"</f>
        <v>PS103AT00</v>
      </c>
      <c r="D1314" t="s">
        <v>1338</v>
      </c>
      <c r="E1314" t="s">
        <v>4</v>
      </c>
      <c r="F1314">
        <v>1</v>
      </c>
      <c r="H1314" t="s">
        <v>5</v>
      </c>
      <c r="I1314" s="1">
        <v>28.3</v>
      </c>
      <c r="J1314" s="1">
        <v>27.56</v>
      </c>
      <c r="K1314" t="s">
        <v>6</v>
      </c>
    </row>
    <row r="1315" spans="1:12">
      <c r="A1315" t="s">
        <v>1162</v>
      </c>
      <c r="B1315">
        <v>397775</v>
      </c>
      <c r="C1315" s="2" t="str">
        <f>"PS30402"</f>
        <v>PS30402</v>
      </c>
      <c r="D1315" t="s">
        <v>1339</v>
      </c>
      <c r="E1315" t="s">
        <v>4</v>
      </c>
      <c r="F1315">
        <v>0.72</v>
      </c>
      <c r="G1315">
        <v>0.06</v>
      </c>
      <c r="H1315" t="s">
        <v>106</v>
      </c>
      <c r="I1315" s="1">
        <v>1.69</v>
      </c>
      <c r="J1315" s="1">
        <v>1.64</v>
      </c>
      <c r="K1315" t="s">
        <v>457</v>
      </c>
      <c r="L1315" s="1">
        <v>1.8</v>
      </c>
    </row>
    <row r="1316" spans="1:12">
      <c r="A1316" t="s">
        <v>1162</v>
      </c>
      <c r="B1316">
        <v>396074</v>
      </c>
      <c r="C1316" s="2" t="str">
        <f>"PS601200"</f>
        <v>PS601200</v>
      </c>
      <c r="D1316" t="s">
        <v>1340</v>
      </c>
      <c r="E1316" t="s">
        <v>4</v>
      </c>
      <c r="F1316">
        <v>6.95</v>
      </c>
      <c r="H1316" t="s">
        <v>5</v>
      </c>
      <c r="I1316" s="1">
        <v>99.32</v>
      </c>
      <c r="J1316" s="1">
        <v>96.71</v>
      </c>
      <c r="K1316" t="s">
        <v>6</v>
      </c>
    </row>
    <row r="1317" spans="1:12">
      <c r="A1317" t="s">
        <v>1162</v>
      </c>
      <c r="B1317">
        <v>414562</v>
      </c>
      <c r="C1317" s="2" t="str">
        <f>"PS601N00"</f>
        <v>PS601N00</v>
      </c>
      <c r="D1317" t="s">
        <v>1341</v>
      </c>
      <c r="E1317" t="s">
        <v>4</v>
      </c>
      <c r="F1317">
        <v>4.5599999999999996</v>
      </c>
      <c r="G1317">
        <v>0.38</v>
      </c>
      <c r="H1317" t="s">
        <v>106</v>
      </c>
      <c r="I1317" s="1">
        <v>6.98</v>
      </c>
      <c r="J1317" s="1">
        <v>6.8</v>
      </c>
      <c r="K1317" t="s">
        <v>457</v>
      </c>
      <c r="L1317" s="1">
        <v>7.48</v>
      </c>
    </row>
    <row r="1318" spans="1:12">
      <c r="A1318" t="s">
        <v>1162</v>
      </c>
      <c r="B1318">
        <v>397506</v>
      </c>
      <c r="C1318" s="2" t="str">
        <f>"PS603N02"</f>
        <v>PS603N02</v>
      </c>
      <c r="D1318" t="s">
        <v>1342</v>
      </c>
      <c r="E1318" t="s">
        <v>4</v>
      </c>
      <c r="F1318">
        <v>3</v>
      </c>
      <c r="G1318">
        <v>0.25</v>
      </c>
      <c r="H1318" t="s">
        <v>106</v>
      </c>
      <c r="I1318" s="1">
        <v>3.19</v>
      </c>
      <c r="J1318" s="1">
        <v>3.11</v>
      </c>
      <c r="K1318" t="s">
        <v>457</v>
      </c>
      <c r="L1318" s="1">
        <v>3.42</v>
      </c>
    </row>
    <row r="1319" spans="1:12">
      <c r="A1319" t="s">
        <v>1162</v>
      </c>
      <c r="B1319">
        <v>397452</v>
      </c>
      <c r="C1319" s="2" t="str">
        <f>"PS701B00"</f>
        <v>PS701B00</v>
      </c>
      <c r="D1319" t="s">
        <v>1343</v>
      </c>
      <c r="E1319" t="s">
        <v>4</v>
      </c>
      <c r="F1319">
        <v>2.88</v>
      </c>
      <c r="G1319">
        <v>0.48</v>
      </c>
      <c r="H1319" t="s">
        <v>20</v>
      </c>
      <c r="I1319" s="1">
        <v>7.71</v>
      </c>
      <c r="J1319" s="1">
        <v>7.51</v>
      </c>
      <c r="K1319" t="s">
        <v>457</v>
      </c>
      <c r="L1319" s="1">
        <v>8.27</v>
      </c>
    </row>
    <row r="1320" spans="1:12">
      <c r="A1320" t="s">
        <v>1162</v>
      </c>
      <c r="B1320">
        <v>384423</v>
      </c>
      <c r="C1320" s="2" t="str">
        <f>"PS70200"</f>
        <v>PS70200</v>
      </c>
      <c r="D1320" t="s">
        <v>1344</v>
      </c>
      <c r="E1320" t="s">
        <v>4</v>
      </c>
      <c r="F1320">
        <v>2.0499999999999998</v>
      </c>
      <c r="H1320" t="s">
        <v>5</v>
      </c>
      <c r="I1320" s="1">
        <v>22.89</v>
      </c>
      <c r="J1320" s="1">
        <v>22.3</v>
      </c>
      <c r="K1320" t="s">
        <v>6</v>
      </c>
    </row>
    <row r="1321" spans="1:12">
      <c r="A1321" t="s">
        <v>1162</v>
      </c>
      <c r="B1321">
        <v>457298</v>
      </c>
      <c r="C1321" s="2" t="str">
        <f>"PSD21EH07"</f>
        <v>PSD21EH07</v>
      </c>
      <c r="D1321" t="s">
        <v>1345</v>
      </c>
      <c r="E1321" t="s">
        <v>4</v>
      </c>
      <c r="F1321">
        <v>3.7</v>
      </c>
      <c r="H1321" t="s">
        <v>5</v>
      </c>
      <c r="I1321" s="1">
        <v>45.02</v>
      </c>
      <c r="J1321" s="1">
        <v>43.84</v>
      </c>
      <c r="K1321" t="s">
        <v>6</v>
      </c>
    </row>
    <row r="1322" spans="1:12">
      <c r="A1322" t="s">
        <v>1162</v>
      </c>
      <c r="B1322">
        <v>380726</v>
      </c>
      <c r="C1322" s="2" t="str">
        <f>"S27902"</f>
        <v>S27902</v>
      </c>
      <c r="D1322" t="s">
        <v>1346</v>
      </c>
      <c r="E1322" t="s">
        <v>4</v>
      </c>
      <c r="F1322">
        <v>4.75</v>
      </c>
      <c r="H1322" t="s">
        <v>5</v>
      </c>
      <c r="I1322" s="1">
        <v>73.22</v>
      </c>
      <c r="J1322" s="1">
        <v>71.28</v>
      </c>
      <c r="K1322" t="s">
        <v>6</v>
      </c>
    </row>
    <row r="1323" spans="1:12">
      <c r="A1323" t="s">
        <v>1162</v>
      </c>
      <c r="B1323">
        <v>380729</v>
      </c>
      <c r="C1323" s="2" t="str">
        <f>"S28502"</f>
        <v>S28502</v>
      </c>
      <c r="D1323" t="s">
        <v>1347</v>
      </c>
      <c r="E1323" t="s">
        <v>4</v>
      </c>
      <c r="F1323">
        <v>9.75</v>
      </c>
      <c r="H1323" t="s">
        <v>5</v>
      </c>
      <c r="I1323" s="1">
        <v>98.7</v>
      </c>
      <c r="J1323" s="1">
        <v>96.11</v>
      </c>
      <c r="K1323" t="s">
        <v>6</v>
      </c>
    </row>
    <row r="1324" spans="1:12">
      <c r="A1324" t="s">
        <v>1162</v>
      </c>
      <c r="B1324">
        <v>380717</v>
      </c>
      <c r="C1324" s="2" t="str">
        <f>"S28742"</f>
        <v>S28742</v>
      </c>
      <c r="D1324" t="s">
        <v>1348</v>
      </c>
      <c r="E1324" t="s">
        <v>4</v>
      </c>
      <c r="F1324">
        <v>9.6999999999999993</v>
      </c>
      <c r="H1324" t="s">
        <v>5</v>
      </c>
      <c r="I1324" s="1">
        <v>98.7</v>
      </c>
      <c r="J1324" s="1">
        <v>96.11</v>
      </c>
      <c r="K1324" t="s">
        <v>6</v>
      </c>
    </row>
    <row r="1325" spans="1:12">
      <c r="A1325" t="s">
        <v>1162</v>
      </c>
      <c r="B1325">
        <v>370927</v>
      </c>
      <c r="C1325" s="2" t="str">
        <f>"SBA102"</f>
        <v>SBA102</v>
      </c>
      <c r="D1325" t="s">
        <v>1349</v>
      </c>
      <c r="E1325" t="s">
        <v>4</v>
      </c>
      <c r="F1325">
        <v>6.6</v>
      </c>
      <c r="H1325" t="s">
        <v>5</v>
      </c>
      <c r="I1325" s="1">
        <v>73.540000000000006</v>
      </c>
      <c r="J1325" s="1">
        <v>71.599999999999994</v>
      </c>
      <c r="K1325" t="s">
        <v>6</v>
      </c>
    </row>
    <row r="1326" spans="1:12">
      <c r="A1326" t="s">
        <v>1162</v>
      </c>
      <c r="B1326">
        <v>380742</v>
      </c>
      <c r="C1326" s="2" t="str">
        <f>"SBG102"</f>
        <v>SBG102</v>
      </c>
      <c r="D1326" t="s">
        <v>1350</v>
      </c>
      <c r="E1326" t="s">
        <v>4</v>
      </c>
      <c r="F1326">
        <v>6.03</v>
      </c>
      <c r="H1326" t="s">
        <v>5</v>
      </c>
      <c r="I1326" s="1">
        <v>65.27</v>
      </c>
      <c r="J1326" s="1">
        <v>63.56</v>
      </c>
      <c r="K1326" t="s">
        <v>6</v>
      </c>
    </row>
    <row r="1327" spans="1:12">
      <c r="A1327" t="s">
        <v>1162</v>
      </c>
      <c r="B1327">
        <v>380762</v>
      </c>
      <c r="C1327" s="2" t="str">
        <f>"SC2607"</f>
        <v>SC2607</v>
      </c>
      <c r="D1327" t="s">
        <v>1351</v>
      </c>
      <c r="E1327" t="s">
        <v>4</v>
      </c>
      <c r="F1327">
        <v>6.85</v>
      </c>
      <c r="H1327" t="s">
        <v>5</v>
      </c>
      <c r="I1327" s="1">
        <v>49.96</v>
      </c>
      <c r="J1327" s="1">
        <v>48.65</v>
      </c>
      <c r="K1327" t="s">
        <v>6</v>
      </c>
    </row>
    <row r="1328" spans="1:12">
      <c r="A1328" t="s">
        <v>1162</v>
      </c>
      <c r="B1328">
        <v>380757</v>
      </c>
      <c r="C1328" s="2" t="str">
        <f>"SP1807"</f>
        <v>SP1807</v>
      </c>
      <c r="D1328" t="s">
        <v>1352</v>
      </c>
      <c r="E1328" t="s">
        <v>4</v>
      </c>
      <c r="F1328">
        <v>5.6</v>
      </c>
      <c r="H1328" t="s">
        <v>5</v>
      </c>
      <c r="I1328" s="1">
        <v>63.99</v>
      </c>
      <c r="J1328" s="1">
        <v>62.3</v>
      </c>
      <c r="K1328" t="s">
        <v>6</v>
      </c>
    </row>
    <row r="1329" spans="1:11">
      <c r="A1329" t="s">
        <v>1162</v>
      </c>
      <c r="B1329">
        <v>380743</v>
      </c>
      <c r="C1329" s="2" t="str">
        <f>"SSW102"</f>
        <v>SSW102</v>
      </c>
      <c r="D1329" t="s">
        <v>1353</v>
      </c>
      <c r="E1329" t="s">
        <v>4</v>
      </c>
      <c r="F1329">
        <v>5.9</v>
      </c>
      <c r="H1329" t="s">
        <v>5</v>
      </c>
      <c r="I1329" s="1">
        <v>67.67</v>
      </c>
      <c r="J1329" s="1">
        <v>65.88</v>
      </c>
      <c r="K1329" t="s">
        <v>6</v>
      </c>
    </row>
    <row r="1330" spans="1:11">
      <c r="A1330" t="s">
        <v>1162</v>
      </c>
      <c r="B1330">
        <v>371302</v>
      </c>
      <c r="C1330" s="2" t="str">
        <f>"TP10007"</f>
        <v>TP10007</v>
      </c>
      <c r="D1330" t="s">
        <v>1354</v>
      </c>
      <c r="E1330" t="s">
        <v>4</v>
      </c>
      <c r="F1330">
        <v>0.84</v>
      </c>
      <c r="H1330" t="s">
        <v>5</v>
      </c>
      <c r="I1330" s="1">
        <v>41.02</v>
      </c>
      <c r="J1330" s="1">
        <v>39.94</v>
      </c>
      <c r="K1330" t="s">
        <v>6</v>
      </c>
    </row>
    <row r="1331" spans="1:11">
      <c r="A1331" t="s">
        <v>1162</v>
      </c>
      <c r="B1331">
        <v>380795</v>
      </c>
      <c r="C1331" s="2" t="str">
        <f>"WPM8538"</f>
        <v>WPM8538</v>
      </c>
      <c r="D1331" t="s">
        <v>1355</v>
      </c>
      <c r="E1331" t="s">
        <v>4</v>
      </c>
      <c r="F1331">
        <v>0.55000000000000004</v>
      </c>
      <c r="H1331" t="s">
        <v>5</v>
      </c>
      <c r="I1331" s="1">
        <v>29.94</v>
      </c>
      <c r="J1331" s="1">
        <v>29.15</v>
      </c>
      <c r="K1331" t="s">
        <v>6</v>
      </c>
    </row>
    <row r="1332" spans="1:11">
      <c r="A1332" t="s">
        <v>1356</v>
      </c>
      <c r="B1332">
        <v>453418</v>
      </c>
      <c r="C1332" s="2" t="str">
        <f>"2803B"</f>
        <v>2803B</v>
      </c>
      <c r="D1332" t="s">
        <v>1357</v>
      </c>
      <c r="E1332" t="s">
        <v>4</v>
      </c>
      <c r="F1332">
        <v>5</v>
      </c>
      <c r="H1332" t="s">
        <v>5</v>
      </c>
      <c r="I1332" s="1">
        <v>42.83</v>
      </c>
      <c r="J1332" s="1">
        <v>41.99</v>
      </c>
      <c r="K1332" t="s">
        <v>6</v>
      </c>
    </row>
    <row r="1333" spans="1:11">
      <c r="A1333" t="s">
        <v>1356</v>
      </c>
      <c r="B1333">
        <v>550141</v>
      </c>
      <c r="C1333" s="2" t="str">
        <f>"28044"</f>
        <v>28044</v>
      </c>
      <c r="D1333" t="s">
        <v>1358</v>
      </c>
      <c r="E1333" t="s">
        <v>4</v>
      </c>
      <c r="F1333">
        <v>8</v>
      </c>
      <c r="H1333" t="s">
        <v>5</v>
      </c>
      <c r="I1333" s="1">
        <v>46.01</v>
      </c>
      <c r="J1333" s="1">
        <v>45.11</v>
      </c>
      <c r="K1333" t="s">
        <v>6</v>
      </c>
    </row>
    <row r="1334" spans="1:11">
      <c r="A1334" t="s">
        <v>1356</v>
      </c>
      <c r="B1334">
        <v>453419</v>
      </c>
      <c r="C1334" s="2" t="str">
        <f>"2804B"</f>
        <v>2804B</v>
      </c>
      <c r="D1334" t="s">
        <v>1359</v>
      </c>
      <c r="E1334" t="s">
        <v>4</v>
      </c>
      <c r="F1334">
        <v>6</v>
      </c>
      <c r="H1334" t="s">
        <v>5</v>
      </c>
      <c r="I1334" s="1">
        <v>38.979999999999997</v>
      </c>
      <c r="J1334" s="1">
        <v>38.22</v>
      </c>
      <c r="K1334" t="s">
        <v>6</v>
      </c>
    </row>
    <row r="1335" spans="1:11">
      <c r="A1335" t="s">
        <v>1356</v>
      </c>
      <c r="B1335">
        <v>379221</v>
      </c>
      <c r="C1335" s="2" t="str">
        <f>"BI-400D"</f>
        <v>BI-400D</v>
      </c>
      <c r="D1335" t="s">
        <v>1360</v>
      </c>
      <c r="E1335" t="s">
        <v>4</v>
      </c>
      <c r="F1335">
        <v>14</v>
      </c>
      <c r="H1335" t="s">
        <v>5</v>
      </c>
      <c r="I1335" s="1">
        <v>52.24</v>
      </c>
      <c r="J1335" s="1">
        <v>51.22</v>
      </c>
      <c r="K1335" t="s">
        <v>6</v>
      </c>
    </row>
    <row r="1336" spans="1:11">
      <c r="A1336" t="s">
        <v>1356</v>
      </c>
      <c r="B1336">
        <v>379222</v>
      </c>
      <c r="C1336" s="2" t="str">
        <f>"BI-400HSW"</f>
        <v>BI-400HSW</v>
      </c>
      <c r="D1336" t="s">
        <v>1361</v>
      </c>
      <c r="E1336" t="s">
        <v>4</v>
      </c>
      <c r="F1336">
        <v>11</v>
      </c>
      <c r="H1336" t="s">
        <v>5</v>
      </c>
      <c r="I1336" s="1">
        <v>41.77</v>
      </c>
      <c r="J1336" s="1">
        <v>40.950000000000003</v>
      </c>
      <c r="K1336" t="s">
        <v>6</v>
      </c>
    </row>
    <row r="1337" spans="1:11">
      <c r="A1337" t="s">
        <v>1356</v>
      </c>
      <c r="B1337">
        <v>413781</v>
      </c>
      <c r="C1337" s="2" t="str">
        <f>"BIX-400HSB"</f>
        <v>BIX-400HSB</v>
      </c>
      <c r="D1337" t="s">
        <v>1362</v>
      </c>
      <c r="E1337" t="s">
        <v>4</v>
      </c>
      <c r="F1337">
        <v>13</v>
      </c>
      <c r="H1337" t="s">
        <v>5</v>
      </c>
      <c r="I1337" s="1">
        <v>45.35</v>
      </c>
      <c r="J1337" s="1">
        <v>44.46</v>
      </c>
      <c r="K1337" t="s">
        <v>6</v>
      </c>
    </row>
    <row r="1338" spans="1:11">
      <c r="A1338" t="s">
        <v>1356</v>
      </c>
      <c r="B1338">
        <v>409271</v>
      </c>
      <c r="C1338" s="2" t="str">
        <f>"BP-400R"</f>
        <v>BP-400R</v>
      </c>
      <c r="D1338" t="s">
        <v>1363</v>
      </c>
      <c r="E1338" t="s">
        <v>4</v>
      </c>
      <c r="F1338">
        <v>5</v>
      </c>
      <c r="H1338" t="s">
        <v>5</v>
      </c>
      <c r="I1338" s="1">
        <v>45.48</v>
      </c>
      <c r="J1338" s="1">
        <v>44.59</v>
      </c>
      <c r="K1338" t="s">
        <v>6</v>
      </c>
    </row>
    <row r="1339" spans="1:11">
      <c r="A1339" t="s">
        <v>1356</v>
      </c>
      <c r="B1339">
        <v>379212</v>
      </c>
      <c r="C1339" s="2" t="str">
        <f>"CC-2007"</f>
        <v>CC-2007</v>
      </c>
      <c r="D1339" t="s">
        <v>1364</v>
      </c>
      <c r="E1339" t="s">
        <v>4</v>
      </c>
      <c r="F1339">
        <v>2</v>
      </c>
      <c r="H1339" t="s">
        <v>5</v>
      </c>
      <c r="I1339" s="1">
        <v>13.26</v>
      </c>
      <c r="J1339" s="1">
        <v>13</v>
      </c>
      <c r="K1339" t="s">
        <v>6</v>
      </c>
    </row>
    <row r="1340" spans="1:11">
      <c r="A1340" t="s">
        <v>1356</v>
      </c>
      <c r="B1340">
        <v>379213</v>
      </c>
      <c r="C1340" s="2" t="str">
        <f>"CC-2009"</f>
        <v>CC-2009</v>
      </c>
      <c r="D1340" t="s">
        <v>1365</v>
      </c>
      <c r="E1340" t="s">
        <v>4</v>
      </c>
      <c r="F1340">
        <v>2</v>
      </c>
      <c r="H1340" t="s">
        <v>5</v>
      </c>
      <c r="I1340" s="1">
        <v>13.26</v>
      </c>
      <c r="J1340" s="1">
        <v>13</v>
      </c>
      <c r="K1340" t="s">
        <v>6</v>
      </c>
    </row>
    <row r="1341" spans="1:11">
      <c r="A1341" t="s">
        <v>1356</v>
      </c>
      <c r="B1341">
        <v>472485</v>
      </c>
      <c r="C1341" s="2" t="str">
        <f>"CC-2010"</f>
        <v>CC-2010</v>
      </c>
      <c r="D1341" t="s">
        <v>1366</v>
      </c>
      <c r="E1341" t="s">
        <v>4</v>
      </c>
      <c r="F1341">
        <v>2</v>
      </c>
      <c r="H1341" t="s">
        <v>5</v>
      </c>
      <c r="I1341" s="1">
        <v>13.26</v>
      </c>
      <c r="J1341" s="1">
        <v>13</v>
      </c>
      <c r="K1341" t="s">
        <v>6</v>
      </c>
    </row>
    <row r="1342" spans="1:11">
      <c r="A1342" t="s">
        <v>1356</v>
      </c>
      <c r="B1342">
        <v>410039</v>
      </c>
      <c r="C1342" s="2" t="str">
        <f>"HN-500BK"</f>
        <v>HN-500BK</v>
      </c>
      <c r="D1342" t="s">
        <v>1367</v>
      </c>
      <c r="E1342" t="s">
        <v>4</v>
      </c>
      <c r="F1342">
        <v>20</v>
      </c>
      <c r="H1342" t="s">
        <v>5</v>
      </c>
      <c r="I1342" s="1">
        <v>213.09</v>
      </c>
      <c r="J1342" s="1">
        <v>208.91</v>
      </c>
      <c r="K1342" t="s">
        <v>6</v>
      </c>
    </row>
    <row r="1343" spans="1:11">
      <c r="A1343" t="s">
        <v>1356</v>
      </c>
      <c r="B1343">
        <v>379223</v>
      </c>
      <c r="C1343" s="2" t="str">
        <f>"HN500DB"</f>
        <v>HN500DB</v>
      </c>
      <c r="D1343" t="s">
        <v>1368</v>
      </c>
      <c r="E1343" t="s">
        <v>4</v>
      </c>
      <c r="F1343">
        <v>20</v>
      </c>
      <c r="H1343" t="s">
        <v>5</v>
      </c>
      <c r="I1343" s="1">
        <v>213.09</v>
      </c>
      <c r="J1343" s="1">
        <v>208.91</v>
      </c>
      <c r="K1343" t="s">
        <v>6</v>
      </c>
    </row>
    <row r="1344" spans="1:11">
      <c r="A1344" t="s">
        <v>1356</v>
      </c>
      <c r="B1344">
        <v>396888</v>
      </c>
      <c r="C1344" s="2" t="str">
        <f>"OC-100G"</f>
        <v>OC-100G</v>
      </c>
      <c r="D1344" t="s">
        <v>1369</v>
      </c>
      <c r="E1344" t="s">
        <v>4</v>
      </c>
      <c r="F1344">
        <v>35</v>
      </c>
      <c r="H1344" t="s">
        <v>5</v>
      </c>
      <c r="I1344" s="1">
        <v>101.84</v>
      </c>
      <c r="J1344" s="1">
        <v>99.84</v>
      </c>
      <c r="K1344" t="s">
        <v>6</v>
      </c>
    </row>
    <row r="1345" spans="1:12">
      <c r="A1345" t="s">
        <v>1356</v>
      </c>
      <c r="B1345">
        <v>379218</v>
      </c>
      <c r="C1345" s="2" t="str">
        <f>"RC1WT"</f>
        <v>RC1WT</v>
      </c>
      <c r="D1345" t="s">
        <v>1370</v>
      </c>
      <c r="E1345" t="s">
        <v>4</v>
      </c>
      <c r="F1345">
        <v>32</v>
      </c>
      <c r="H1345" t="s">
        <v>5</v>
      </c>
      <c r="I1345" s="1">
        <v>86.99</v>
      </c>
      <c r="J1345" s="1">
        <v>85.28</v>
      </c>
      <c r="K1345" t="s">
        <v>6</v>
      </c>
    </row>
    <row r="1346" spans="1:12">
      <c r="A1346" t="s">
        <v>1371</v>
      </c>
      <c r="B1346">
        <v>564502</v>
      </c>
      <c r="C1346" s="2" t="str">
        <f>"CFI-3229"</f>
        <v>CFI-3229</v>
      </c>
      <c r="D1346" t="s">
        <v>1372</v>
      </c>
      <c r="E1346" t="s">
        <v>4</v>
      </c>
      <c r="F1346">
        <v>43.52</v>
      </c>
      <c r="G1346">
        <v>0.68</v>
      </c>
      <c r="H1346" t="s">
        <v>6</v>
      </c>
      <c r="I1346" t="s">
        <v>1373</v>
      </c>
      <c r="J1346" t="s">
        <v>1374</v>
      </c>
      <c r="K1346" t="s">
        <v>6</v>
      </c>
    </row>
    <row r="1347" spans="1:12">
      <c r="A1347" t="s">
        <v>1371</v>
      </c>
      <c r="B1347">
        <v>486788</v>
      </c>
      <c r="C1347" s="2" t="str">
        <f>"VOL VII GEN A"</f>
        <v>VOL VII GEN A</v>
      </c>
      <c r="D1347" t="s">
        <v>1375</v>
      </c>
      <c r="E1347" t="s">
        <v>4</v>
      </c>
      <c r="F1347">
        <v>49.28</v>
      </c>
      <c r="G1347">
        <v>2.2400000000000002</v>
      </c>
      <c r="H1347" t="s">
        <v>6</v>
      </c>
      <c r="I1347" t="s">
        <v>1373</v>
      </c>
      <c r="J1347" t="s">
        <v>1374</v>
      </c>
      <c r="K1347" t="s">
        <v>6</v>
      </c>
    </row>
    <row r="1348" spans="1:12">
      <c r="A1348" t="s">
        <v>1371</v>
      </c>
      <c r="B1348">
        <v>486789</v>
      </c>
      <c r="C1348" s="2" t="str">
        <f>"VOL VII GEN B"</f>
        <v>VOL VII GEN B</v>
      </c>
      <c r="D1348" t="s">
        <v>1376</v>
      </c>
      <c r="E1348" t="s">
        <v>4</v>
      </c>
      <c r="F1348">
        <v>49.28</v>
      </c>
      <c r="G1348">
        <v>2.2400000000000002</v>
      </c>
      <c r="H1348" t="s">
        <v>6</v>
      </c>
      <c r="I1348" t="s">
        <v>1373</v>
      </c>
      <c r="J1348" t="s">
        <v>1374</v>
      </c>
      <c r="K1348" t="s">
        <v>6</v>
      </c>
    </row>
    <row r="1349" spans="1:12">
      <c r="A1349" t="s">
        <v>1377</v>
      </c>
      <c r="B1349">
        <v>398040</v>
      </c>
      <c r="C1349" s="2" t="str">
        <f>"19NU-L"</f>
        <v>19NU-L</v>
      </c>
      <c r="D1349" t="s">
        <v>1378</v>
      </c>
      <c r="E1349" t="s">
        <v>4</v>
      </c>
      <c r="F1349">
        <v>8.0399999999999991</v>
      </c>
      <c r="G1349">
        <v>0.67</v>
      </c>
      <c r="H1349" t="s">
        <v>106</v>
      </c>
      <c r="I1349" s="1">
        <v>13.13</v>
      </c>
      <c r="J1349" s="1">
        <v>13.13</v>
      </c>
      <c r="K1349" t="s">
        <v>1379</v>
      </c>
      <c r="L1349" s="1">
        <v>14.44</v>
      </c>
    </row>
    <row r="1350" spans="1:12">
      <c r="A1350" t="s">
        <v>1377</v>
      </c>
      <c r="B1350">
        <v>486034</v>
      </c>
      <c r="C1350" s="2" t="str">
        <f>"19NU-M"</f>
        <v>19NU-M</v>
      </c>
      <c r="D1350" t="s">
        <v>1380</v>
      </c>
      <c r="E1350" t="s">
        <v>4</v>
      </c>
      <c r="F1350">
        <v>8.0399999999999991</v>
      </c>
      <c r="G1350">
        <v>0.67</v>
      </c>
      <c r="H1350" t="s">
        <v>106</v>
      </c>
      <c r="I1350" s="1">
        <v>13.13</v>
      </c>
      <c r="J1350" s="1">
        <v>13.13</v>
      </c>
      <c r="K1350" t="s">
        <v>1379</v>
      </c>
      <c r="L1350" s="1">
        <v>14.44</v>
      </c>
    </row>
    <row r="1351" spans="1:12">
      <c r="A1351" t="s">
        <v>1377</v>
      </c>
      <c r="B1351">
        <v>398043</v>
      </c>
      <c r="C1351" s="2" t="str">
        <f>"600BAW-DDZ"</f>
        <v>600BAW-DDZ</v>
      </c>
      <c r="D1351" t="s">
        <v>1381</v>
      </c>
      <c r="E1351" t="s">
        <v>4</v>
      </c>
      <c r="F1351">
        <v>27</v>
      </c>
      <c r="G1351">
        <v>5.4</v>
      </c>
      <c r="H1351" t="s">
        <v>151</v>
      </c>
      <c r="I1351" s="1">
        <v>50.54</v>
      </c>
      <c r="J1351" s="1">
        <v>50.54</v>
      </c>
      <c r="K1351" t="s">
        <v>1274</v>
      </c>
      <c r="L1351" s="1">
        <v>55.6</v>
      </c>
    </row>
    <row r="1352" spans="1:12">
      <c r="A1352" t="s">
        <v>1377</v>
      </c>
      <c r="B1352">
        <v>379509</v>
      </c>
      <c r="C1352" s="2" t="str">
        <f>"600BAWDZ"</f>
        <v>600BAWDZ</v>
      </c>
      <c r="D1352" t="s">
        <v>1382</v>
      </c>
      <c r="E1352" t="s">
        <v>4</v>
      </c>
      <c r="F1352">
        <v>27</v>
      </c>
      <c r="G1352">
        <v>5.4</v>
      </c>
      <c r="H1352" t="s">
        <v>151</v>
      </c>
      <c r="I1352" s="1">
        <v>65.44</v>
      </c>
      <c r="J1352" s="1">
        <v>65.44</v>
      </c>
      <c r="K1352" t="s">
        <v>1274</v>
      </c>
      <c r="L1352" s="1">
        <v>71.989999999999995</v>
      </c>
    </row>
    <row r="1353" spans="1:12">
      <c r="A1353" t="s">
        <v>1377</v>
      </c>
      <c r="B1353">
        <v>398010</v>
      </c>
      <c r="C1353" s="2" t="str">
        <f>"601BAC-BGDZ"</f>
        <v>601BAC-BGDZ</v>
      </c>
      <c r="D1353" t="s">
        <v>1383</v>
      </c>
      <c r="E1353" t="s">
        <v>4</v>
      </c>
      <c r="F1353">
        <v>14.01</v>
      </c>
      <c r="G1353">
        <v>4.67</v>
      </c>
      <c r="H1353" t="s">
        <v>189</v>
      </c>
      <c r="I1353" s="1">
        <v>97.11</v>
      </c>
      <c r="J1353" s="1">
        <v>97.11</v>
      </c>
      <c r="K1353" t="s">
        <v>1274</v>
      </c>
      <c r="L1353" s="1">
        <v>106.82</v>
      </c>
    </row>
    <row r="1354" spans="1:12">
      <c r="A1354" t="s">
        <v>1377</v>
      </c>
      <c r="B1354">
        <v>398011</v>
      </c>
      <c r="C1354" s="2" t="str">
        <f>"601BAC-BKDZ"</f>
        <v>601BAC-BKDZ</v>
      </c>
      <c r="D1354" t="s">
        <v>1384</v>
      </c>
      <c r="E1354" t="s">
        <v>4</v>
      </c>
      <c r="F1354">
        <v>14.01</v>
      </c>
      <c r="G1354">
        <v>4.67</v>
      </c>
      <c r="H1354" t="s">
        <v>189</v>
      </c>
      <c r="I1354" s="1">
        <v>92.27</v>
      </c>
      <c r="J1354" s="1">
        <v>92.27</v>
      </c>
      <c r="K1354" t="s">
        <v>1274</v>
      </c>
      <c r="L1354" s="1">
        <v>101.5</v>
      </c>
    </row>
    <row r="1355" spans="1:12">
      <c r="A1355" t="s">
        <v>1377</v>
      </c>
      <c r="B1355">
        <v>398012</v>
      </c>
      <c r="C1355" s="2" t="str">
        <f>"601BAC-GNDZ"</f>
        <v>601BAC-GNDZ</v>
      </c>
      <c r="D1355" t="s">
        <v>1385</v>
      </c>
      <c r="E1355" t="s">
        <v>4</v>
      </c>
      <c r="F1355">
        <v>14.01</v>
      </c>
      <c r="G1355">
        <v>4.67</v>
      </c>
      <c r="H1355" t="s">
        <v>189</v>
      </c>
      <c r="I1355" s="1">
        <v>97.11</v>
      </c>
      <c r="J1355" s="1">
        <v>97.11</v>
      </c>
      <c r="K1355" t="s">
        <v>1274</v>
      </c>
      <c r="L1355" s="1">
        <v>106.82</v>
      </c>
    </row>
    <row r="1356" spans="1:12">
      <c r="A1356" t="s">
        <v>1377</v>
      </c>
      <c r="B1356">
        <v>398013</v>
      </c>
      <c r="C1356" s="2" t="str">
        <f>"601BAC-NVDZ"</f>
        <v>601BAC-NVDZ</v>
      </c>
      <c r="D1356" t="s">
        <v>1386</v>
      </c>
      <c r="E1356" t="s">
        <v>4</v>
      </c>
      <c r="F1356">
        <v>14.01</v>
      </c>
      <c r="G1356">
        <v>4.67</v>
      </c>
      <c r="H1356" t="s">
        <v>189</v>
      </c>
      <c r="I1356" s="1">
        <v>97.11</v>
      </c>
      <c r="J1356" s="1">
        <v>97.11</v>
      </c>
      <c r="K1356" t="s">
        <v>1274</v>
      </c>
      <c r="L1356" s="1">
        <v>106.82</v>
      </c>
    </row>
    <row r="1357" spans="1:12">
      <c r="A1357" t="s">
        <v>1377</v>
      </c>
      <c r="B1357">
        <v>431513</v>
      </c>
      <c r="C1357" s="2" t="str">
        <f>"601BAC-RBDZ"</f>
        <v>601BAC-RBDZ</v>
      </c>
      <c r="D1357" t="s">
        <v>1387</v>
      </c>
      <c r="E1357" t="s">
        <v>4</v>
      </c>
      <c r="F1357">
        <v>14.01</v>
      </c>
      <c r="G1357">
        <v>4.67</v>
      </c>
      <c r="H1357" t="s">
        <v>189</v>
      </c>
      <c r="I1357" s="1">
        <v>97.11</v>
      </c>
      <c r="J1357" s="1">
        <v>97.11</v>
      </c>
      <c r="K1357" t="s">
        <v>1274</v>
      </c>
      <c r="L1357" s="1">
        <v>106.82</v>
      </c>
    </row>
    <row r="1358" spans="1:12">
      <c r="A1358" t="s">
        <v>1377</v>
      </c>
      <c r="B1358">
        <v>398014</v>
      </c>
      <c r="C1358" s="2" t="str">
        <f>"601BAC-RDDZ"</f>
        <v>601BAC-RDDZ</v>
      </c>
      <c r="D1358" t="s">
        <v>1388</v>
      </c>
      <c r="E1358" t="s">
        <v>4</v>
      </c>
      <c r="F1358">
        <v>14.01</v>
      </c>
      <c r="G1358">
        <v>4.67</v>
      </c>
      <c r="H1358" t="s">
        <v>189</v>
      </c>
      <c r="I1358" s="1">
        <v>97.11</v>
      </c>
      <c r="J1358" s="1">
        <v>97.11</v>
      </c>
      <c r="K1358" t="s">
        <v>1274</v>
      </c>
      <c r="L1358" s="1">
        <v>106.82</v>
      </c>
    </row>
    <row r="1359" spans="1:12">
      <c r="A1359" t="s">
        <v>1377</v>
      </c>
      <c r="B1359">
        <v>379488</v>
      </c>
      <c r="C1359" s="2" t="str">
        <f>"602BAFH-BGDZ"</f>
        <v>602BAFH-BGDZ</v>
      </c>
      <c r="D1359" t="s">
        <v>1389</v>
      </c>
      <c r="E1359" t="s">
        <v>4</v>
      </c>
      <c r="F1359">
        <v>27.99</v>
      </c>
      <c r="G1359">
        <v>9.33</v>
      </c>
      <c r="H1359" t="s">
        <v>189</v>
      </c>
      <c r="I1359" s="1">
        <v>118.01</v>
      </c>
      <c r="J1359" s="1">
        <v>118.01</v>
      </c>
      <c r="K1359" t="s">
        <v>1274</v>
      </c>
      <c r="L1359" s="1">
        <v>129.82</v>
      </c>
    </row>
    <row r="1360" spans="1:12">
      <c r="A1360" t="s">
        <v>1377</v>
      </c>
      <c r="B1360">
        <v>379487</v>
      </c>
      <c r="C1360" s="2" t="str">
        <f>"602BAFH-BKDZ"</f>
        <v>602BAFH-BKDZ</v>
      </c>
      <c r="D1360" t="s">
        <v>1390</v>
      </c>
      <c r="E1360" t="s">
        <v>4</v>
      </c>
      <c r="F1360">
        <v>27.99</v>
      </c>
      <c r="G1360">
        <v>9.33</v>
      </c>
      <c r="H1360" t="s">
        <v>189</v>
      </c>
      <c r="I1360" s="1">
        <v>112.16</v>
      </c>
      <c r="J1360" s="1">
        <v>112.16</v>
      </c>
      <c r="K1360" t="s">
        <v>1274</v>
      </c>
      <c r="L1360" s="1">
        <v>123.38</v>
      </c>
    </row>
    <row r="1361" spans="1:12">
      <c r="A1361" t="s">
        <v>1377</v>
      </c>
      <c r="B1361">
        <v>379499</v>
      </c>
      <c r="C1361" s="2" t="str">
        <f>"602BAFH-HGDZ"</f>
        <v>602BAFH-HGDZ</v>
      </c>
      <c r="D1361" t="s">
        <v>1391</v>
      </c>
      <c r="E1361" t="s">
        <v>4</v>
      </c>
      <c r="F1361">
        <v>27.99</v>
      </c>
      <c r="G1361">
        <v>9.33</v>
      </c>
      <c r="H1361" t="s">
        <v>189</v>
      </c>
      <c r="I1361" s="1">
        <v>118.01</v>
      </c>
      <c r="J1361" s="1">
        <v>118.01</v>
      </c>
      <c r="K1361" t="s">
        <v>1274</v>
      </c>
      <c r="L1361" s="1">
        <v>129.82</v>
      </c>
    </row>
    <row r="1362" spans="1:12">
      <c r="A1362" t="s">
        <v>1377</v>
      </c>
      <c r="B1362">
        <v>379490</v>
      </c>
      <c r="C1362" s="2" t="str">
        <f>"602BAFH-NVDZ"</f>
        <v>602BAFH-NVDZ</v>
      </c>
      <c r="D1362" t="s">
        <v>1392</v>
      </c>
      <c r="E1362" t="s">
        <v>4</v>
      </c>
      <c r="F1362">
        <v>27.99</v>
      </c>
      <c r="G1362">
        <v>9.33</v>
      </c>
      <c r="H1362" t="s">
        <v>189</v>
      </c>
      <c r="I1362" s="1">
        <v>118.01</v>
      </c>
      <c r="J1362" s="1">
        <v>118.01</v>
      </c>
      <c r="K1362" t="s">
        <v>1274</v>
      </c>
      <c r="L1362" s="1">
        <v>129.82</v>
      </c>
    </row>
    <row r="1363" spans="1:12">
      <c r="A1363" t="s">
        <v>1377</v>
      </c>
      <c r="B1363">
        <v>431512</v>
      </c>
      <c r="C1363" s="2" t="str">
        <f>"602BAFH-RBDZ"</f>
        <v>602BAFH-RBDZ</v>
      </c>
      <c r="D1363" t="s">
        <v>1393</v>
      </c>
      <c r="E1363" t="s">
        <v>4</v>
      </c>
      <c r="F1363">
        <v>14.01</v>
      </c>
      <c r="G1363">
        <v>4.67</v>
      </c>
      <c r="H1363" t="s">
        <v>189</v>
      </c>
      <c r="I1363" s="1">
        <v>118.01</v>
      </c>
      <c r="J1363" s="1">
        <v>118.01</v>
      </c>
      <c r="K1363" t="s">
        <v>1274</v>
      </c>
      <c r="L1363" s="1">
        <v>129.82</v>
      </c>
    </row>
    <row r="1364" spans="1:12">
      <c r="A1364" t="s">
        <v>1377</v>
      </c>
      <c r="B1364">
        <v>379496</v>
      </c>
      <c r="C1364" s="2" t="str">
        <f>"602BAFH-RDDZ"</f>
        <v>602BAFH-RDDZ</v>
      </c>
      <c r="D1364" t="s">
        <v>1394</v>
      </c>
      <c r="E1364" t="s">
        <v>4</v>
      </c>
      <c r="F1364">
        <v>27.99</v>
      </c>
      <c r="G1364">
        <v>9.33</v>
      </c>
      <c r="H1364" t="s">
        <v>189</v>
      </c>
      <c r="I1364" s="1">
        <v>118.01</v>
      </c>
      <c r="J1364" s="1">
        <v>118.01</v>
      </c>
      <c r="K1364" t="s">
        <v>1274</v>
      </c>
      <c r="L1364" s="1">
        <v>129.82</v>
      </c>
    </row>
    <row r="1365" spans="1:12">
      <c r="A1365" t="s">
        <v>1377</v>
      </c>
      <c r="B1365">
        <v>379507</v>
      </c>
      <c r="C1365" s="2" t="str">
        <f>"603FWDZ"</f>
        <v>603FWDZ</v>
      </c>
      <c r="D1365" t="s">
        <v>1395</v>
      </c>
      <c r="E1365" t="s">
        <v>4</v>
      </c>
      <c r="F1365">
        <v>28</v>
      </c>
      <c r="G1365">
        <v>5.6</v>
      </c>
      <c r="H1365" t="s">
        <v>151</v>
      </c>
      <c r="I1365" s="1">
        <v>53.66</v>
      </c>
      <c r="J1365" s="1">
        <v>53.66</v>
      </c>
      <c r="K1365" t="s">
        <v>1274</v>
      </c>
      <c r="L1365" s="1">
        <v>59.03</v>
      </c>
    </row>
    <row r="1366" spans="1:12">
      <c r="A1366" t="s">
        <v>1377</v>
      </c>
      <c r="B1366">
        <v>379505</v>
      </c>
      <c r="C1366" s="2" t="str">
        <f>"604VBA-BR"</f>
        <v>604VBA-BR</v>
      </c>
      <c r="D1366" t="s">
        <v>1396</v>
      </c>
      <c r="E1366" t="s">
        <v>4</v>
      </c>
      <c r="F1366">
        <v>25.92</v>
      </c>
      <c r="G1366">
        <v>0.72</v>
      </c>
      <c r="H1366" t="s">
        <v>1397</v>
      </c>
      <c r="I1366" s="1">
        <v>10.24</v>
      </c>
      <c r="J1366" s="1">
        <v>10.24</v>
      </c>
      <c r="K1366" t="s">
        <v>21</v>
      </c>
      <c r="L1366" s="1">
        <v>11.27</v>
      </c>
    </row>
    <row r="1367" spans="1:12">
      <c r="A1367" t="s">
        <v>1377</v>
      </c>
      <c r="B1367">
        <v>379481</v>
      </c>
      <c r="C1367" s="2" t="str">
        <f>"605WAFH-BG"</f>
        <v>605WAFH-BG</v>
      </c>
      <c r="D1367" t="s">
        <v>1398</v>
      </c>
      <c r="E1367" t="s">
        <v>4</v>
      </c>
      <c r="F1367">
        <v>11.01</v>
      </c>
      <c r="G1367">
        <v>3.67</v>
      </c>
      <c r="H1367" t="s">
        <v>189</v>
      </c>
      <c r="I1367" s="1">
        <v>76.13</v>
      </c>
      <c r="J1367" s="1">
        <v>76.13</v>
      </c>
      <c r="K1367" t="s">
        <v>1274</v>
      </c>
      <c r="L1367" s="1">
        <v>83.74</v>
      </c>
    </row>
    <row r="1368" spans="1:12">
      <c r="A1368" t="s">
        <v>1377</v>
      </c>
      <c r="B1368">
        <v>379477</v>
      </c>
      <c r="C1368" s="2" t="str">
        <f>"605WAFH-BK"</f>
        <v>605WAFH-BK</v>
      </c>
      <c r="D1368" t="s">
        <v>1399</v>
      </c>
      <c r="E1368" t="s">
        <v>4</v>
      </c>
      <c r="F1368">
        <v>11.01</v>
      </c>
      <c r="G1368">
        <v>3.67</v>
      </c>
      <c r="H1368" t="s">
        <v>189</v>
      </c>
      <c r="I1368" s="1">
        <v>72.38</v>
      </c>
      <c r="J1368" s="1">
        <v>72.38</v>
      </c>
      <c r="K1368" t="s">
        <v>1274</v>
      </c>
      <c r="L1368" s="1">
        <v>79.62</v>
      </c>
    </row>
    <row r="1369" spans="1:12">
      <c r="A1369" t="s">
        <v>1377</v>
      </c>
      <c r="B1369">
        <v>379485</v>
      </c>
      <c r="C1369" s="2" t="str">
        <f>"605WAFH-HG"</f>
        <v>605WAFH-HG</v>
      </c>
      <c r="D1369" t="s">
        <v>1400</v>
      </c>
      <c r="E1369" t="s">
        <v>4</v>
      </c>
      <c r="F1369">
        <v>11.01</v>
      </c>
      <c r="G1369">
        <v>3.67</v>
      </c>
      <c r="H1369" t="s">
        <v>189</v>
      </c>
      <c r="I1369" s="1">
        <v>76.13</v>
      </c>
      <c r="J1369" s="1">
        <v>76.13</v>
      </c>
      <c r="K1369" t="s">
        <v>1274</v>
      </c>
      <c r="L1369" s="1">
        <v>83.74</v>
      </c>
    </row>
    <row r="1370" spans="1:12">
      <c r="A1370" t="s">
        <v>1377</v>
      </c>
      <c r="B1370">
        <v>379482</v>
      </c>
      <c r="C1370" s="2" t="str">
        <f>"605WAFH-NV"</f>
        <v>605WAFH-NV</v>
      </c>
      <c r="D1370" t="s">
        <v>1401</v>
      </c>
      <c r="E1370" t="s">
        <v>4</v>
      </c>
      <c r="F1370">
        <v>11.01</v>
      </c>
      <c r="G1370">
        <v>3.67</v>
      </c>
      <c r="H1370" t="s">
        <v>189</v>
      </c>
      <c r="I1370" s="1">
        <v>76.13</v>
      </c>
      <c r="J1370" s="1">
        <v>76.13</v>
      </c>
      <c r="K1370" t="s">
        <v>1274</v>
      </c>
      <c r="L1370" s="1">
        <v>83.74</v>
      </c>
    </row>
    <row r="1371" spans="1:12">
      <c r="A1371" t="s">
        <v>1377</v>
      </c>
      <c r="B1371">
        <v>379483</v>
      </c>
      <c r="C1371" s="2" t="str">
        <f>"605WAFH-RD"</f>
        <v>605WAFH-RD</v>
      </c>
      <c r="D1371" t="s">
        <v>1402</v>
      </c>
      <c r="E1371" t="s">
        <v>4</v>
      </c>
      <c r="F1371">
        <v>11.01</v>
      </c>
      <c r="G1371">
        <v>3.67</v>
      </c>
      <c r="H1371" t="s">
        <v>189</v>
      </c>
      <c r="I1371" s="1">
        <v>76.13</v>
      </c>
      <c r="J1371" s="1">
        <v>76.13</v>
      </c>
      <c r="K1371" t="s">
        <v>1274</v>
      </c>
      <c r="L1371" s="1">
        <v>83.74</v>
      </c>
    </row>
    <row r="1372" spans="1:12">
      <c r="A1372" t="s">
        <v>1377</v>
      </c>
      <c r="B1372">
        <v>431482</v>
      </c>
      <c r="C1372" s="2" t="str">
        <f>"607BA2-BKDZ"</f>
        <v>607BA2-BKDZ</v>
      </c>
      <c r="D1372" t="s">
        <v>1403</v>
      </c>
      <c r="E1372" t="s">
        <v>4</v>
      </c>
      <c r="F1372">
        <v>6</v>
      </c>
      <c r="H1372" t="s">
        <v>5</v>
      </c>
      <c r="I1372" s="1">
        <v>122.93</v>
      </c>
      <c r="J1372" s="1">
        <v>122.93</v>
      </c>
      <c r="K1372" t="s">
        <v>6</v>
      </c>
    </row>
    <row r="1373" spans="1:12">
      <c r="A1373" t="s">
        <v>1377</v>
      </c>
      <c r="B1373">
        <v>393653</v>
      </c>
      <c r="C1373" s="2" t="str">
        <f>"610BAC"</f>
        <v>610BAC</v>
      </c>
      <c r="D1373" t="s">
        <v>1404</v>
      </c>
      <c r="E1373" t="s">
        <v>4</v>
      </c>
      <c r="F1373">
        <v>5</v>
      </c>
      <c r="H1373" t="s">
        <v>5</v>
      </c>
      <c r="I1373" s="1">
        <v>59.36</v>
      </c>
      <c r="J1373" s="1">
        <v>59.36</v>
      </c>
      <c r="K1373" t="s">
        <v>6</v>
      </c>
    </row>
    <row r="1374" spans="1:12">
      <c r="A1374" t="s">
        <v>1377</v>
      </c>
      <c r="B1374">
        <v>379503</v>
      </c>
      <c r="C1374" s="2" t="str">
        <f>"614DVADZ"</f>
        <v>614DVADZ</v>
      </c>
      <c r="D1374" t="s">
        <v>1405</v>
      </c>
      <c r="E1374" t="s">
        <v>4</v>
      </c>
      <c r="F1374">
        <v>48.75</v>
      </c>
      <c r="G1374">
        <v>9.75</v>
      </c>
      <c r="H1374" t="s">
        <v>151</v>
      </c>
      <c r="I1374" s="1">
        <v>66.459999999999994</v>
      </c>
      <c r="J1374" s="1">
        <v>66.459999999999994</v>
      </c>
      <c r="K1374" t="s">
        <v>1274</v>
      </c>
      <c r="L1374" s="1">
        <v>73.099999999999994</v>
      </c>
    </row>
    <row r="1375" spans="1:12">
      <c r="A1375" t="s">
        <v>1377</v>
      </c>
      <c r="B1375">
        <v>504761</v>
      </c>
      <c r="C1375" s="2" t="str">
        <f>"614DVAWH20"</f>
        <v>614DVAWH20</v>
      </c>
      <c r="D1375" t="s">
        <v>1406</v>
      </c>
      <c r="E1375" t="s">
        <v>4</v>
      </c>
      <c r="F1375">
        <v>15</v>
      </c>
      <c r="H1375" t="s">
        <v>5</v>
      </c>
      <c r="I1375" s="1">
        <v>97.97</v>
      </c>
      <c r="J1375" s="1">
        <v>97.97</v>
      </c>
      <c r="K1375" t="s">
        <v>6</v>
      </c>
    </row>
    <row r="1376" spans="1:12">
      <c r="A1376" t="s">
        <v>1377</v>
      </c>
      <c r="B1376">
        <v>399257</v>
      </c>
      <c r="C1376" s="2" t="str">
        <f>"615NBA-B"</f>
        <v>615NBA-B</v>
      </c>
      <c r="D1376" t="s">
        <v>1407</v>
      </c>
      <c r="E1376" t="s">
        <v>4</v>
      </c>
      <c r="F1376">
        <v>0.97</v>
      </c>
      <c r="H1376" t="s">
        <v>5</v>
      </c>
      <c r="I1376" s="1">
        <v>18.07</v>
      </c>
      <c r="J1376" s="1">
        <v>18.07</v>
      </c>
      <c r="K1376" t="s">
        <v>6</v>
      </c>
    </row>
    <row r="1377" spans="1:12">
      <c r="A1377" t="s">
        <v>1377</v>
      </c>
      <c r="B1377">
        <v>398015</v>
      </c>
      <c r="C1377" s="2" t="str">
        <f>"700BRT24"</f>
        <v>700BRT24</v>
      </c>
      <c r="D1377" t="s">
        <v>1408</v>
      </c>
      <c r="E1377" t="s">
        <v>4</v>
      </c>
      <c r="F1377">
        <v>20.04</v>
      </c>
      <c r="G1377">
        <v>1.67</v>
      </c>
      <c r="H1377" t="s">
        <v>106</v>
      </c>
      <c r="I1377" s="1">
        <v>9.5399999999999991</v>
      </c>
      <c r="J1377" s="1">
        <v>9.5399999999999991</v>
      </c>
      <c r="K1377" t="s">
        <v>1274</v>
      </c>
      <c r="L1377" s="1">
        <v>10.5</v>
      </c>
    </row>
    <row r="1378" spans="1:12">
      <c r="A1378" t="s">
        <v>1377</v>
      </c>
      <c r="B1378">
        <v>379560</v>
      </c>
      <c r="C1378" s="2" t="str">
        <f>"700BRT28"</f>
        <v>700BRT28</v>
      </c>
      <c r="D1378" t="s">
        <v>1409</v>
      </c>
      <c r="E1378" t="s">
        <v>4</v>
      </c>
      <c r="F1378">
        <v>23.04</v>
      </c>
      <c r="G1378">
        <v>1.92</v>
      </c>
      <c r="H1378" t="s">
        <v>106</v>
      </c>
      <c r="I1378" s="1">
        <v>11.43</v>
      </c>
      <c r="J1378" s="1">
        <v>11.43</v>
      </c>
      <c r="K1378" t="s">
        <v>1274</v>
      </c>
      <c r="L1378" s="1">
        <v>12.57</v>
      </c>
    </row>
    <row r="1379" spans="1:12">
      <c r="A1379" t="s">
        <v>1377</v>
      </c>
      <c r="B1379">
        <v>508254</v>
      </c>
      <c r="C1379" s="2" t="str">
        <f>"700BRT-BLS"</f>
        <v>700BRT-BLS</v>
      </c>
      <c r="D1379" t="s">
        <v>1410</v>
      </c>
      <c r="E1379" t="s">
        <v>4</v>
      </c>
      <c r="F1379">
        <v>3</v>
      </c>
      <c r="H1379" t="s">
        <v>5</v>
      </c>
      <c r="I1379" s="1">
        <v>12.7</v>
      </c>
      <c r="J1379" s="1">
        <v>12.7</v>
      </c>
      <c r="K1379" t="s">
        <v>6</v>
      </c>
    </row>
    <row r="1380" spans="1:12">
      <c r="A1380" t="s">
        <v>1377</v>
      </c>
      <c r="B1380">
        <v>379445</v>
      </c>
      <c r="C1380" s="2" t="str">
        <f>"701BTT30"</f>
        <v>701BTT30</v>
      </c>
      <c r="D1380" t="s">
        <v>1411</v>
      </c>
      <c r="E1380" t="s">
        <v>4</v>
      </c>
      <c r="F1380">
        <v>24.96</v>
      </c>
      <c r="G1380">
        <v>2.08</v>
      </c>
      <c r="H1380" t="s">
        <v>106</v>
      </c>
      <c r="I1380" s="1">
        <v>12.84</v>
      </c>
      <c r="J1380" s="1">
        <v>12.84</v>
      </c>
      <c r="K1380" t="s">
        <v>1274</v>
      </c>
      <c r="L1380" s="1">
        <v>14.13</v>
      </c>
    </row>
    <row r="1381" spans="1:12">
      <c r="A1381" t="s">
        <v>1377</v>
      </c>
      <c r="B1381">
        <v>379447</v>
      </c>
      <c r="C1381" s="2" t="str">
        <f>"703HB"</f>
        <v>703HB</v>
      </c>
      <c r="D1381" t="s">
        <v>1412</v>
      </c>
      <c r="E1381" t="s">
        <v>4</v>
      </c>
      <c r="F1381">
        <v>20.04</v>
      </c>
      <c r="G1381">
        <v>1.67</v>
      </c>
      <c r="H1381" t="s">
        <v>106</v>
      </c>
      <c r="I1381" s="1">
        <v>11.26</v>
      </c>
      <c r="J1381" s="1">
        <v>11.26</v>
      </c>
      <c r="K1381" t="s">
        <v>1274</v>
      </c>
      <c r="L1381" s="1">
        <v>12.38</v>
      </c>
    </row>
    <row r="1382" spans="1:12">
      <c r="A1382" t="s">
        <v>1377</v>
      </c>
      <c r="B1382">
        <v>398016</v>
      </c>
      <c r="C1382" s="2" t="str">
        <f>"703HB28"</f>
        <v>703HB28</v>
      </c>
      <c r="D1382" t="s">
        <v>1413</v>
      </c>
      <c r="E1382" t="s">
        <v>4</v>
      </c>
      <c r="F1382">
        <v>27.96</v>
      </c>
      <c r="G1382">
        <v>2.33</v>
      </c>
      <c r="H1382" t="s">
        <v>106</v>
      </c>
      <c r="I1382" s="1">
        <v>19.010000000000002</v>
      </c>
      <c r="J1382" s="1">
        <v>19.010000000000002</v>
      </c>
      <c r="K1382" t="s">
        <v>1274</v>
      </c>
      <c r="L1382" s="1">
        <v>20.91</v>
      </c>
    </row>
    <row r="1383" spans="1:12">
      <c r="A1383" t="s">
        <v>1377</v>
      </c>
      <c r="B1383">
        <v>379449</v>
      </c>
      <c r="C1383" s="2" t="str">
        <f>"704FSTW"</f>
        <v>704FSTW</v>
      </c>
      <c r="D1383" t="s">
        <v>1414</v>
      </c>
      <c r="E1383" t="s">
        <v>4</v>
      </c>
      <c r="F1383">
        <v>21.96</v>
      </c>
      <c r="G1383">
        <v>1.83</v>
      </c>
      <c r="H1383" t="s">
        <v>106</v>
      </c>
      <c r="I1383" s="1">
        <v>16.61</v>
      </c>
      <c r="J1383" s="1">
        <v>16.61</v>
      </c>
      <c r="K1383" t="s">
        <v>1274</v>
      </c>
      <c r="L1383" s="1">
        <v>18.28</v>
      </c>
    </row>
    <row r="1384" spans="1:12">
      <c r="A1384" t="s">
        <v>1377</v>
      </c>
      <c r="B1384">
        <v>379446</v>
      </c>
      <c r="C1384" s="2" t="str">
        <f>"705MSK"</f>
        <v>705MSK</v>
      </c>
      <c r="D1384" t="s">
        <v>1415</v>
      </c>
      <c r="E1384" t="s">
        <v>4</v>
      </c>
      <c r="F1384">
        <v>23.04</v>
      </c>
      <c r="G1384">
        <v>1.92</v>
      </c>
      <c r="H1384" t="s">
        <v>106</v>
      </c>
      <c r="I1384" s="1">
        <v>18.079999999999998</v>
      </c>
      <c r="J1384" s="1">
        <v>18.079999999999998</v>
      </c>
      <c r="K1384" t="s">
        <v>1274</v>
      </c>
      <c r="L1384" s="1">
        <v>19.89</v>
      </c>
    </row>
    <row r="1385" spans="1:12">
      <c r="A1385" t="s">
        <v>1377</v>
      </c>
      <c r="B1385">
        <v>379448</v>
      </c>
      <c r="C1385" s="2" t="str">
        <f>"706DC"</f>
        <v>706DC</v>
      </c>
      <c r="D1385" t="s">
        <v>1416</v>
      </c>
      <c r="E1385" t="s">
        <v>4</v>
      </c>
      <c r="F1385">
        <v>15</v>
      </c>
      <c r="G1385">
        <v>1.25</v>
      </c>
      <c r="H1385" t="s">
        <v>106</v>
      </c>
      <c r="I1385" s="1">
        <v>7.36</v>
      </c>
      <c r="J1385" s="1">
        <v>7.36</v>
      </c>
      <c r="K1385" t="s">
        <v>1274</v>
      </c>
      <c r="L1385" s="1">
        <v>8.09</v>
      </c>
    </row>
    <row r="1386" spans="1:12">
      <c r="A1386" t="s">
        <v>1377</v>
      </c>
      <c r="B1386">
        <v>398018</v>
      </c>
      <c r="C1386" s="2" t="str">
        <f>"800FG13"</f>
        <v>800FG13</v>
      </c>
      <c r="D1386" t="s">
        <v>1417</v>
      </c>
      <c r="E1386" t="s">
        <v>4</v>
      </c>
      <c r="F1386">
        <v>35.28</v>
      </c>
      <c r="G1386">
        <v>0.49</v>
      </c>
      <c r="H1386" t="s">
        <v>463</v>
      </c>
      <c r="I1386" s="1">
        <v>6.66</v>
      </c>
      <c r="J1386" s="1">
        <v>6.66</v>
      </c>
      <c r="K1386" t="s">
        <v>1379</v>
      </c>
      <c r="L1386" s="1">
        <v>7.32</v>
      </c>
    </row>
    <row r="1387" spans="1:12">
      <c r="A1387" t="s">
        <v>1377</v>
      </c>
      <c r="B1387">
        <v>379512</v>
      </c>
      <c r="C1387" s="2" t="str">
        <f>"800FG15"</f>
        <v>800FG15</v>
      </c>
      <c r="D1387" t="s">
        <v>1418</v>
      </c>
      <c r="E1387" t="s">
        <v>4</v>
      </c>
      <c r="F1387">
        <v>38.159999999999997</v>
      </c>
      <c r="G1387">
        <v>0.53</v>
      </c>
      <c r="H1387" t="s">
        <v>463</v>
      </c>
      <c r="I1387" s="1">
        <v>7.62</v>
      </c>
      <c r="J1387" s="1">
        <v>7.62</v>
      </c>
      <c r="K1387" t="s">
        <v>1379</v>
      </c>
      <c r="L1387" s="1">
        <v>8.3800000000000008</v>
      </c>
    </row>
    <row r="1388" spans="1:12">
      <c r="A1388" t="s">
        <v>1377</v>
      </c>
      <c r="B1388">
        <v>398021</v>
      </c>
      <c r="C1388" s="2" t="str">
        <f>"800FG15-BK"</f>
        <v>800FG15-BK</v>
      </c>
      <c r="D1388" t="s">
        <v>1419</v>
      </c>
      <c r="E1388" t="s">
        <v>4</v>
      </c>
      <c r="F1388">
        <v>38.159999999999997</v>
      </c>
      <c r="G1388">
        <v>0.53</v>
      </c>
      <c r="H1388" t="s">
        <v>463</v>
      </c>
      <c r="I1388" s="1">
        <v>7.62</v>
      </c>
      <c r="J1388" s="1">
        <v>7.62</v>
      </c>
      <c r="K1388" t="s">
        <v>1379</v>
      </c>
      <c r="L1388" s="1">
        <v>8.3800000000000008</v>
      </c>
    </row>
    <row r="1389" spans="1:12">
      <c r="A1389" t="s">
        <v>1377</v>
      </c>
      <c r="B1389">
        <v>379518</v>
      </c>
      <c r="C1389" s="2" t="str">
        <f>"800FG17"</f>
        <v>800FG17</v>
      </c>
      <c r="D1389" t="s">
        <v>1420</v>
      </c>
      <c r="E1389" t="s">
        <v>4</v>
      </c>
      <c r="F1389">
        <v>48.24</v>
      </c>
      <c r="G1389">
        <v>0.67</v>
      </c>
      <c r="H1389" t="s">
        <v>463</v>
      </c>
      <c r="I1389" s="1">
        <v>8.89</v>
      </c>
      <c r="J1389" s="1">
        <v>8.89</v>
      </c>
      <c r="K1389" t="s">
        <v>1379</v>
      </c>
      <c r="L1389" s="1">
        <v>9.7799999999999994</v>
      </c>
    </row>
    <row r="1390" spans="1:12">
      <c r="A1390" t="s">
        <v>1377</v>
      </c>
      <c r="B1390">
        <v>398028</v>
      </c>
      <c r="C1390" s="2" t="str">
        <f>"800FG17-BK"</f>
        <v>800FG17-BK</v>
      </c>
      <c r="D1390" t="s">
        <v>1419</v>
      </c>
      <c r="E1390" t="s">
        <v>4</v>
      </c>
      <c r="F1390">
        <v>48.24</v>
      </c>
      <c r="G1390">
        <v>0.67</v>
      </c>
      <c r="H1390" t="s">
        <v>463</v>
      </c>
      <c r="I1390" s="1">
        <v>8.89</v>
      </c>
      <c r="J1390" s="1">
        <v>8.89</v>
      </c>
      <c r="K1390" t="s">
        <v>1379</v>
      </c>
      <c r="L1390" s="1">
        <v>9.7799999999999994</v>
      </c>
    </row>
    <row r="1391" spans="1:12">
      <c r="A1391" t="s">
        <v>1377</v>
      </c>
      <c r="B1391">
        <v>379526</v>
      </c>
      <c r="C1391" s="2" t="str">
        <f>"801SG15"</f>
        <v>801SG15</v>
      </c>
      <c r="D1391" t="s">
        <v>1421</v>
      </c>
      <c r="E1391" t="s">
        <v>4</v>
      </c>
      <c r="F1391">
        <v>27.36</v>
      </c>
      <c r="G1391">
        <v>0.38</v>
      </c>
      <c r="H1391" t="s">
        <v>463</v>
      </c>
      <c r="I1391" s="1">
        <v>5.17</v>
      </c>
      <c r="J1391" s="1">
        <v>5.17</v>
      </c>
      <c r="K1391" t="s">
        <v>1379</v>
      </c>
      <c r="L1391" s="1">
        <v>5.69</v>
      </c>
    </row>
    <row r="1392" spans="1:12">
      <c r="A1392" t="s">
        <v>1377</v>
      </c>
      <c r="B1392">
        <v>379529</v>
      </c>
      <c r="C1392" s="2" t="str">
        <f>"801SG17"</f>
        <v>801SG17</v>
      </c>
      <c r="D1392" t="s">
        <v>1422</v>
      </c>
      <c r="E1392" t="s">
        <v>4</v>
      </c>
      <c r="F1392">
        <v>31.68</v>
      </c>
      <c r="G1392">
        <v>0.44</v>
      </c>
      <c r="H1392" t="s">
        <v>463</v>
      </c>
      <c r="I1392" s="1">
        <v>6.03</v>
      </c>
      <c r="J1392" s="1">
        <v>6.03</v>
      </c>
      <c r="K1392" t="s">
        <v>1379</v>
      </c>
      <c r="L1392" s="1">
        <v>6.64</v>
      </c>
    </row>
    <row r="1393" spans="1:12">
      <c r="A1393" t="s">
        <v>1377</v>
      </c>
      <c r="B1393">
        <v>379543</v>
      </c>
      <c r="C1393" s="2" t="str">
        <f>"802SPH"</f>
        <v>802SPH</v>
      </c>
      <c r="D1393" t="s">
        <v>1423</v>
      </c>
      <c r="E1393" t="s">
        <v>4</v>
      </c>
      <c r="F1393">
        <v>64.08</v>
      </c>
      <c r="G1393">
        <v>2.67</v>
      </c>
      <c r="H1393" t="s">
        <v>666</v>
      </c>
      <c r="I1393" s="1">
        <v>14.92</v>
      </c>
      <c r="J1393" s="1">
        <v>14.92</v>
      </c>
      <c r="K1393" t="s">
        <v>1274</v>
      </c>
      <c r="L1393" s="1">
        <v>16.420000000000002</v>
      </c>
    </row>
    <row r="1394" spans="1:12">
      <c r="A1394" t="s">
        <v>1377</v>
      </c>
      <c r="B1394">
        <v>379539</v>
      </c>
      <c r="C1394" s="2" t="str">
        <f>"802TF"</f>
        <v>802TF</v>
      </c>
      <c r="D1394" t="s">
        <v>1424</v>
      </c>
      <c r="E1394" t="s">
        <v>4</v>
      </c>
      <c r="F1394">
        <v>48</v>
      </c>
      <c r="G1394">
        <v>2</v>
      </c>
      <c r="H1394" t="s">
        <v>666</v>
      </c>
      <c r="I1394" s="1">
        <v>25.25</v>
      </c>
      <c r="J1394" s="1">
        <v>25.25</v>
      </c>
      <c r="K1394" t="s">
        <v>1274</v>
      </c>
      <c r="L1394" s="1">
        <v>27.77</v>
      </c>
    </row>
    <row r="1395" spans="1:12">
      <c r="A1395" t="s">
        <v>1377</v>
      </c>
      <c r="B1395">
        <v>379535</v>
      </c>
      <c r="C1395" s="2" t="str">
        <f>"802TPH"</f>
        <v>802TPH</v>
      </c>
      <c r="D1395" t="s">
        <v>1425</v>
      </c>
      <c r="E1395" t="s">
        <v>4</v>
      </c>
      <c r="F1395">
        <v>24.96</v>
      </c>
      <c r="G1395">
        <v>1.04</v>
      </c>
      <c r="H1395" t="s">
        <v>666</v>
      </c>
      <c r="I1395" s="1">
        <v>22.5</v>
      </c>
      <c r="J1395" s="1">
        <v>22.5</v>
      </c>
      <c r="K1395" t="s">
        <v>1274</v>
      </c>
      <c r="L1395" s="1">
        <v>24.75</v>
      </c>
    </row>
    <row r="1396" spans="1:12">
      <c r="A1396" t="s">
        <v>1377</v>
      </c>
      <c r="B1396">
        <v>379546</v>
      </c>
      <c r="C1396" s="2" t="str">
        <f>"803PG"</f>
        <v>803PG</v>
      </c>
      <c r="D1396" t="s">
        <v>1426</v>
      </c>
      <c r="E1396" t="s">
        <v>4</v>
      </c>
      <c r="F1396">
        <v>31.92</v>
      </c>
      <c r="G1396">
        <v>2.66</v>
      </c>
      <c r="H1396" t="s">
        <v>106</v>
      </c>
      <c r="I1396" s="1">
        <v>43.24</v>
      </c>
      <c r="J1396" s="1">
        <v>43.24</v>
      </c>
      <c r="K1396" t="s">
        <v>1274</v>
      </c>
      <c r="L1396" s="1">
        <v>47.56</v>
      </c>
    </row>
    <row r="1397" spans="1:12">
      <c r="A1397" t="s">
        <v>1377</v>
      </c>
      <c r="B1397">
        <v>379532</v>
      </c>
      <c r="C1397" s="2" t="str">
        <f>"804BG"</f>
        <v>804BG</v>
      </c>
      <c r="D1397" t="s">
        <v>1427</v>
      </c>
      <c r="E1397" t="s">
        <v>4</v>
      </c>
      <c r="F1397">
        <v>18.96</v>
      </c>
      <c r="G1397">
        <v>0.79</v>
      </c>
      <c r="H1397" t="s">
        <v>666</v>
      </c>
      <c r="I1397" s="1">
        <v>15.95</v>
      </c>
      <c r="J1397" s="1">
        <v>15.95</v>
      </c>
      <c r="K1397" t="s">
        <v>1274</v>
      </c>
      <c r="L1397" s="1">
        <v>17.55</v>
      </c>
    </row>
    <row r="1398" spans="1:12">
      <c r="A1398" t="s">
        <v>1377</v>
      </c>
      <c r="B1398">
        <v>379520</v>
      </c>
      <c r="C1398" s="2" t="str">
        <f>"811TG13"</f>
        <v>811TG13</v>
      </c>
      <c r="D1398" t="s">
        <v>1428</v>
      </c>
      <c r="E1398" t="s">
        <v>4</v>
      </c>
      <c r="F1398">
        <v>25.2</v>
      </c>
      <c r="G1398">
        <v>0.35</v>
      </c>
      <c r="H1398" t="s">
        <v>463</v>
      </c>
      <c r="I1398" s="1">
        <v>4.91</v>
      </c>
      <c r="J1398" s="1">
        <v>4.91</v>
      </c>
      <c r="K1398" t="s">
        <v>1379</v>
      </c>
      <c r="L1398" s="1">
        <v>5.41</v>
      </c>
    </row>
    <row r="1399" spans="1:12">
      <c r="A1399" t="s">
        <v>1377</v>
      </c>
      <c r="B1399">
        <v>379522</v>
      </c>
      <c r="C1399" s="2" t="str">
        <f>"811TG17"</f>
        <v>811TG17</v>
      </c>
      <c r="D1399" t="s">
        <v>1429</v>
      </c>
      <c r="E1399" t="s">
        <v>4</v>
      </c>
      <c r="F1399">
        <v>31.68</v>
      </c>
      <c r="G1399">
        <v>0.44</v>
      </c>
      <c r="H1399" t="s">
        <v>463</v>
      </c>
      <c r="I1399" s="1">
        <v>6.03</v>
      </c>
      <c r="J1399" s="1">
        <v>6.03</v>
      </c>
      <c r="K1399" t="s">
        <v>1379</v>
      </c>
      <c r="L1399" s="1">
        <v>6.64</v>
      </c>
    </row>
    <row r="1400" spans="1:12">
      <c r="A1400" t="s">
        <v>1377</v>
      </c>
      <c r="B1400">
        <v>398033</v>
      </c>
      <c r="C1400" s="2" t="str">
        <f>"812TPH"</f>
        <v>812TPH</v>
      </c>
      <c r="D1400" t="s">
        <v>1430</v>
      </c>
      <c r="E1400" t="s">
        <v>4</v>
      </c>
      <c r="F1400">
        <v>24.96</v>
      </c>
      <c r="G1400">
        <v>1.04</v>
      </c>
      <c r="H1400" t="s">
        <v>666</v>
      </c>
      <c r="I1400" s="1">
        <v>14.92</v>
      </c>
      <c r="J1400" s="1">
        <v>14.92</v>
      </c>
      <c r="K1400" t="s">
        <v>1274</v>
      </c>
      <c r="L1400" s="1">
        <v>16.420000000000002</v>
      </c>
    </row>
    <row r="1401" spans="1:12">
      <c r="A1401" t="s">
        <v>1377</v>
      </c>
      <c r="B1401">
        <v>431477</v>
      </c>
      <c r="C1401" s="2" t="str">
        <f>"817TM"</f>
        <v>817TM</v>
      </c>
      <c r="D1401" t="s">
        <v>1431</v>
      </c>
      <c r="E1401" t="s">
        <v>4</v>
      </c>
      <c r="F1401">
        <v>39.840000000000003</v>
      </c>
      <c r="G1401">
        <v>0.83</v>
      </c>
      <c r="H1401" t="s">
        <v>1432</v>
      </c>
      <c r="I1401" s="1">
        <v>10.47</v>
      </c>
      <c r="J1401" s="1">
        <v>10.47</v>
      </c>
      <c r="K1401" t="s">
        <v>1379</v>
      </c>
      <c r="L1401" s="1">
        <v>11.51</v>
      </c>
    </row>
    <row r="1402" spans="1:12">
      <c r="A1402" t="s">
        <v>1377</v>
      </c>
      <c r="B1402">
        <v>431478</v>
      </c>
      <c r="C1402" s="2" t="str">
        <f>"823TPH"</f>
        <v>823TPH</v>
      </c>
      <c r="D1402" t="s">
        <v>1433</v>
      </c>
      <c r="E1402" t="s">
        <v>4</v>
      </c>
      <c r="F1402">
        <v>32.04</v>
      </c>
      <c r="G1402">
        <v>2.67</v>
      </c>
      <c r="H1402" t="s">
        <v>106</v>
      </c>
      <c r="I1402" s="1">
        <v>42.78</v>
      </c>
      <c r="J1402" s="1">
        <v>42.78</v>
      </c>
      <c r="K1402" t="s">
        <v>1274</v>
      </c>
      <c r="L1402" s="1">
        <v>47.06</v>
      </c>
    </row>
    <row r="1403" spans="1:12">
      <c r="A1403" t="s">
        <v>1377</v>
      </c>
      <c r="B1403">
        <v>398034</v>
      </c>
      <c r="C1403" s="2" t="str">
        <f>"824TM"</f>
        <v>824TM</v>
      </c>
      <c r="D1403" t="s">
        <v>1434</v>
      </c>
      <c r="E1403" t="s">
        <v>4</v>
      </c>
      <c r="F1403">
        <v>42.12</v>
      </c>
      <c r="G1403">
        <v>1.17</v>
      </c>
      <c r="H1403" t="s">
        <v>1397</v>
      </c>
      <c r="I1403" s="1">
        <v>15.39</v>
      </c>
      <c r="J1403" s="1">
        <v>15.39</v>
      </c>
      <c r="K1403" t="s">
        <v>1379</v>
      </c>
      <c r="L1403" s="1">
        <v>16.93</v>
      </c>
    </row>
    <row r="1404" spans="1:12">
      <c r="A1404" t="s">
        <v>1377</v>
      </c>
      <c r="B1404">
        <v>398035</v>
      </c>
      <c r="C1404" s="2" t="str">
        <f>"845PG"</f>
        <v>845PG</v>
      </c>
      <c r="D1404" t="s">
        <v>1435</v>
      </c>
      <c r="E1404" t="s">
        <v>4</v>
      </c>
      <c r="F1404">
        <v>37.92</v>
      </c>
      <c r="G1404">
        <v>1.58</v>
      </c>
      <c r="H1404" t="s">
        <v>666</v>
      </c>
      <c r="I1404" s="1">
        <v>24.34</v>
      </c>
      <c r="J1404" s="1">
        <v>24.34</v>
      </c>
      <c r="K1404" t="s">
        <v>1274</v>
      </c>
      <c r="L1404" s="1">
        <v>26.77</v>
      </c>
    </row>
    <row r="1405" spans="1:12">
      <c r="A1405" t="s">
        <v>1377</v>
      </c>
      <c r="B1405">
        <v>497872</v>
      </c>
      <c r="C1405" s="2" t="str">
        <f>"884"</f>
        <v>884</v>
      </c>
      <c r="D1405" t="s">
        <v>1436</v>
      </c>
      <c r="E1405" t="s">
        <v>4</v>
      </c>
      <c r="F1405">
        <v>38.880000000000003</v>
      </c>
      <c r="G1405">
        <v>0.81</v>
      </c>
      <c r="H1405" t="s">
        <v>1432</v>
      </c>
      <c r="I1405" s="1">
        <v>4.6399999999999997</v>
      </c>
      <c r="J1405" s="1">
        <v>4.6399999999999997</v>
      </c>
      <c r="K1405" t="s">
        <v>1379</v>
      </c>
      <c r="L1405" s="1">
        <v>5.1100000000000003</v>
      </c>
    </row>
    <row r="1406" spans="1:12">
      <c r="A1406" t="s">
        <v>1377</v>
      </c>
      <c r="B1406">
        <v>379548</v>
      </c>
      <c r="C1406" s="2" t="str">
        <f>"887"</f>
        <v>887</v>
      </c>
      <c r="D1406" t="s">
        <v>1437</v>
      </c>
      <c r="E1406" t="s">
        <v>4</v>
      </c>
      <c r="F1406">
        <v>34.92</v>
      </c>
      <c r="G1406">
        <v>0.97</v>
      </c>
      <c r="H1406" t="s">
        <v>1397</v>
      </c>
      <c r="I1406" s="1">
        <v>5.51</v>
      </c>
      <c r="J1406" s="1">
        <v>5.51</v>
      </c>
      <c r="K1406" t="s">
        <v>1379</v>
      </c>
      <c r="L1406" s="1">
        <v>6.06</v>
      </c>
    </row>
    <row r="1407" spans="1:12">
      <c r="A1407" t="s">
        <v>1377</v>
      </c>
      <c r="B1407">
        <v>379598</v>
      </c>
      <c r="C1407" s="2" t="str">
        <f>"CS006WH-L"</f>
        <v>CS006WH-L</v>
      </c>
      <c r="D1407" t="s">
        <v>1438</v>
      </c>
      <c r="E1407" t="s">
        <v>4</v>
      </c>
      <c r="F1407">
        <v>12</v>
      </c>
      <c r="G1407">
        <v>1</v>
      </c>
      <c r="H1407" t="s">
        <v>106</v>
      </c>
      <c r="I1407" s="1">
        <v>13.21</v>
      </c>
      <c r="J1407" s="1">
        <v>13.21</v>
      </c>
      <c r="K1407" t="s">
        <v>21</v>
      </c>
      <c r="L1407" s="1">
        <v>14.53</v>
      </c>
    </row>
    <row r="1408" spans="1:12">
      <c r="A1408" t="s">
        <v>1377</v>
      </c>
      <c r="B1408">
        <v>379596</v>
      </c>
      <c r="C1408" s="2" t="str">
        <f>"CS006WH-M"</f>
        <v>CS006WH-M</v>
      </c>
      <c r="D1408" t="s">
        <v>1439</v>
      </c>
      <c r="E1408" t="s">
        <v>4</v>
      </c>
      <c r="F1408">
        <v>8.0399999999999991</v>
      </c>
      <c r="G1408">
        <v>0.67</v>
      </c>
      <c r="H1408" t="s">
        <v>106</v>
      </c>
      <c r="I1408" s="1">
        <v>13.21</v>
      </c>
      <c r="J1408" s="1">
        <v>13.21</v>
      </c>
      <c r="K1408" t="s">
        <v>21</v>
      </c>
      <c r="L1408" s="1">
        <v>14.53</v>
      </c>
    </row>
    <row r="1409" spans="1:12">
      <c r="A1409" t="s">
        <v>1377</v>
      </c>
      <c r="B1409">
        <v>486902</v>
      </c>
      <c r="C1409" s="2" t="str">
        <f>"CS006WH-XL"</f>
        <v>CS006WH-XL</v>
      </c>
      <c r="D1409" t="s">
        <v>1440</v>
      </c>
      <c r="E1409" t="s">
        <v>4</v>
      </c>
      <c r="F1409">
        <v>12</v>
      </c>
      <c r="G1409">
        <v>1</v>
      </c>
      <c r="H1409" t="s">
        <v>106</v>
      </c>
      <c r="I1409" s="1">
        <v>13.21</v>
      </c>
      <c r="J1409" s="1">
        <v>13.21</v>
      </c>
      <c r="K1409" t="s">
        <v>21</v>
      </c>
      <c r="L1409" s="1">
        <v>14.53</v>
      </c>
    </row>
    <row r="1410" spans="1:12">
      <c r="A1410" t="s">
        <v>1377</v>
      </c>
      <c r="B1410">
        <v>452020</v>
      </c>
      <c r="C1410" s="2" t="str">
        <f>"FC2212-MRN"</f>
        <v>FC2212-MRN</v>
      </c>
      <c r="D1410" t="s">
        <v>1441</v>
      </c>
      <c r="E1410" t="s">
        <v>4</v>
      </c>
      <c r="F1410">
        <v>3.75</v>
      </c>
      <c r="H1410" t="s">
        <v>5</v>
      </c>
      <c r="I1410" s="1">
        <v>52.21</v>
      </c>
      <c r="J1410" s="1">
        <v>52.21</v>
      </c>
      <c r="K1410" t="s">
        <v>6</v>
      </c>
    </row>
    <row r="1411" spans="1:12">
      <c r="A1411" t="s">
        <v>1377</v>
      </c>
      <c r="B1411">
        <v>379551</v>
      </c>
      <c r="C1411" s="2" t="str">
        <f>"G10"</f>
        <v>G10</v>
      </c>
      <c r="D1411" t="s">
        <v>1442</v>
      </c>
      <c r="E1411" t="s">
        <v>4</v>
      </c>
      <c r="F1411">
        <v>40</v>
      </c>
      <c r="G1411">
        <v>4</v>
      </c>
      <c r="H1411" t="s">
        <v>108</v>
      </c>
      <c r="I1411" s="1">
        <v>80.5</v>
      </c>
      <c r="J1411" s="1">
        <v>80.5</v>
      </c>
      <c r="K1411" t="s">
        <v>21</v>
      </c>
      <c r="L1411" s="1">
        <v>88.55</v>
      </c>
    </row>
    <row r="1412" spans="1:12">
      <c r="A1412" t="s">
        <v>1377</v>
      </c>
      <c r="B1412">
        <v>431602</v>
      </c>
      <c r="C1412" s="2" t="str">
        <f>"G10-R"</f>
        <v>G10-R</v>
      </c>
      <c r="D1412" t="s">
        <v>1443</v>
      </c>
      <c r="E1412" t="s">
        <v>4</v>
      </c>
      <c r="F1412">
        <v>20</v>
      </c>
      <c r="H1412" t="s">
        <v>5</v>
      </c>
      <c r="I1412" s="1">
        <v>242.45</v>
      </c>
      <c r="J1412" s="1">
        <v>242.45</v>
      </c>
      <c r="K1412" t="s">
        <v>6</v>
      </c>
    </row>
    <row r="1413" spans="1:12">
      <c r="A1413" t="s">
        <v>1377</v>
      </c>
      <c r="B1413">
        <v>398037</v>
      </c>
      <c r="C1413" s="2" t="str">
        <f>"G40"</f>
        <v>G40</v>
      </c>
      <c r="D1413" t="s">
        <v>1444</v>
      </c>
      <c r="E1413" t="s">
        <v>4</v>
      </c>
      <c r="F1413">
        <v>50</v>
      </c>
      <c r="G1413">
        <v>5</v>
      </c>
      <c r="H1413" t="s">
        <v>108</v>
      </c>
      <c r="I1413" s="1">
        <v>94.35</v>
      </c>
      <c r="J1413" s="1">
        <v>94.35</v>
      </c>
      <c r="K1413" t="s">
        <v>457</v>
      </c>
      <c r="L1413" s="1">
        <v>103.79</v>
      </c>
    </row>
    <row r="1414" spans="1:12">
      <c r="A1414" t="s">
        <v>1377</v>
      </c>
      <c r="B1414">
        <v>379450</v>
      </c>
      <c r="C1414" s="2" t="str">
        <f>"H400WH"</f>
        <v>H400WH</v>
      </c>
      <c r="D1414" t="s">
        <v>1445</v>
      </c>
      <c r="E1414" t="s">
        <v>4</v>
      </c>
      <c r="F1414">
        <v>10.08</v>
      </c>
      <c r="G1414">
        <v>0.21</v>
      </c>
      <c r="H1414" t="s">
        <v>1432</v>
      </c>
      <c r="I1414" s="1">
        <v>5.88</v>
      </c>
      <c r="J1414" s="1">
        <v>5.88</v>
      </c>
      <c r="K1414" t="s">
        <v>21</v>
      </c>
      <c r="L1414" s="1">
        <v>6.46</v>
      </c>
    </row>
    <row r="1415" spans="1:12">
      <c r="A1415" t="s">
        <v>1377</v>
      </c>
      <c r="B1415">
        <v>379570</v>
      </c>
      <c r="C1415" s="2" t="str">
        <f>"J100-L"</f>
        <v>J100-L</v>
      </c>
      <c r="D1415" t="s">
        <v>1446</v>
      </c>
      <c r="E1415" t="s">
        <v>4</v>
      </c>
      <c r="F1415">
        <v>18</v>
      </c>
      <c r="G1415">
        <v>1.5</v>
      </c>
      <c r="H1415" t="s">
        <v>106</v>
      </c>
      <c r="I1415" s="1">
        <v>18.46</v>
      </c>
      <c r="J1415" s="1">
        <v>18.46</v>
      </c>
      <c r="K1415" t="s">
        <v>21</v>
      </c>
      <c r="L1415" s="1">
        <v>20.309999999999999</v>
      </c>
    </row>
    <row r="1416" spans="1:12">
      <c r="A1416" t="s">
        <v>1377</v>
      </c>
      <c r="B1416">
        <v>379451</v>
      </c>
      <c r="C1416" s="2" t="str">
        <f>"J100-M"</f>
        <v>J100-M</v>
      </c>
      <c r="D1416" t="s">
        <v>1447</v>
      </c>
      <c r="E1416" t="s">
        <v>4</v>
      </c>
      <c r="F1416">
        <v>18</v>
      </c>
      <c r="G1416">
        <v>1.5</v>
      </c>
      <c r="H1416" t="s">
        <v>106</v>
      </c>
      <c r="I1416" s="1">
        <v>18.46</v>
      </c>
      <c r="J1416" s="1">
        <v>18.46</v>
      </c>
      <c r="K1416" t="s">
        <v>21</v>
      </c>
      <c r="L1416" s="1">
        <v>20.309999999999999</v>
      </c>
    </row>
    <row r="1417" spans="1:12">
      <c r="A1417" t="s">
        <v>1377</v>
      </c>
      <c r="B1417">
        <v>379572</v>
      </c>
      <c r="C1417" s="2" t="str">
        <f>"J100-XL"</f>
        <v>J100-XL</v>
      </c>
      <c r="D1417" t="s">
        <v>1448</v>
      </c>
      <c r="E1417" t="s">
        <v>4</v>
      </c>
      <c r="F1417">
        <v>18</v>
      </c>
      <c r="G1417">
        <v>1.5</v>
      </c>
      <c r="H1417" t="s">
        <v>106</v>
      </c>
      <c r="I1417" s="1">
        <v>18.46</v>
      </c>
      <c r="J1417" s="1">
        <v>18.46</v>
      </c>
      <c r="K1417" t="s">
        <v>21</v>
      </c>
      <c r="L1417" s="1">
        <v>20.309999999999999</v>
      </c>
    </row>
    <row r="1418" spans="1:12">
      <c r="A1418" t="s">
        <v>1377</v>
      </c>
      <c r="B1418">
        <v>431483</v>
      </c>
      <c r="C1418" s="2" t="str">
        <f>"P020BK-L"</f>
        <v>P020BK-L</v>
      </c>
      <c r="D1418" t="s">
        <v>1449</v>
      </c>
      <c r="E1418" t="s">
        <v>4</v>
      </c>
      <c r="F1418">
        <v>2</v>
      </c>
      <c r="H1418" t="s">
        <v>5</v>
      </c>
      <c r="I1418" s="1">
        <v>23.76</v>
      </c>
      <c r="J1418" s="1">
        <v>23.76</v>
      </c>
      <c r="K1418" t="s">
        <v>6</v>
      </c>
    </row>
    <row r="1419" spans="1:12">
      <c r="A1419" t="s">
        <v>1377</v>
      </c>
      <c r="B1419">
        <v>432200</v>
      </c>
      <c r="C1419" s="2" t="str">
        <f>"P020BK-M"</f>
        <v>P020BK-M</v>
      </c>
      <c r="D1419" t="s">
        <v>1450</v>
      </c>
      <c r="E1419" t="s">
        <v>4</v>
      </c>
      <c r="F1419">
        <v>2</v>
      </c>
      <c r="H1419" t="s">
        <v>5</v>
      </c>
      <c r="I1419" s="1">
        <v>23.76</v>
      </c>
      <c r="J1419" s="1">
        <v>23.76</v>
      </c>
      <c r="K1419" t="s">
        <v>6</v>
      </c>
    </row>
    <row r="1420" spans="1:12">
      <c r="A1420" t="s">
        <v>1377</v>
      </c>
      <c r="B1420">
        <v>431484</v>
      </c>
      <c r="C1420" s="2" t="str">
        <f>"P020BK-XL"</f>
        <v>P020BK-XL</v>
      </c>
      <c r="D1420" t="s">
        <v>1451</v>
      </c>
      <c r="E1420" t="s">
        <v>4</v>
      </c>
      <c r="F1420">
        <v>2</v>
      </c>
      <c r="H1420" t="s">
        <v>5</v>
      </c>
      <c r="I1420" s="1">
        <v>23.76</v>
      </c>
      <c r="J1420" s="1">
        <v>23.76</v>
      </c>
      <c r="K1420" t="s">
        <v>6</v>
      </c>
    </row>
    <row r="1421" spans="1:12">
      <c r="A1421" t="s">
        <v>1377</v>
      </c>
      <c r="B1421">
        <v>486778</v>
      </c>
      <c r="C1421" s="2" t="str">
        <f>"P020HT-L"</f>
        <v>P020HT-L</v>
      </c>
      <c r="D1421" t="s">
        <v>1452</v>
      </c>
      <c r="E1421" t="s">
        <v>4</v>
      </c>
      <c r="F1421">
        <v>2</v>
      </c>
      <c r="H1421" t="s">
        <v>5</v>
      </c>
      <c r="I1421" s="1">
        <v>22.31</v>
      </c>
      <c r="J1421" s="1">
        <v>22.31</v>
      </c>
      <c r="K1421" t="s">
        <v>6</v>
      </c>
    </row>
    <row r="1422" spans="1:12">
      <c r="A1422" t="s">
        <v>1377</v>
      </c>
      <c r="B1422">
        <v>486779</v>
      </c>
      <c r="C1422" s="2" t="str">
        <f>"P020HT-M"</f>
        <v>P020HT-M</v>
      </c>
      <c r="D1422" t="s">
        <v>1453</v>
      </c>
      <c r="E1422" t="s">
        <v>4</v>
      </c>
      <c r="F1422">
        <v>2</v>
      </c>
      <c r="H1422" t="s">
        <v>5</v>
      </c>
      <c r="I1422" s="1">
        <v>22.31</v>
      </c>
      <c r="J1422" s="1">
        <v>22.31</v>
      </c>
      <c r="K1422" t="s">
        <v>6</v>
      </c>
    </row>
    <row r="1423" spans="1:12">
      <c r="A1423" t="s">
        <v>1377</v>
      </c>
      <c r="B1423">
        <v>430052</v>
      </c>
      <c r="C1423" s="2" t="str">
        <f>"TPB2012-MRN"</f>
        <v>TPB2012-MRN</v>
      </c>
      <c r="D1423" t="s">
        <v>1454</v>
      </c>
      <c r="E1423" t="s">
        <v>4</v>
      </c>
      <c r="F1423">
        <v>5.5</v>
      </c>
      <c r="H1423" t="s">
        <v>5</v>
      </c>
      <c r="I1423" s="1">
        <v>50.61</v>
      </c>
      <c r="J1423" s="1">
        <v>50.61</v>
      </c>
      <c r="K1423" t="s">
        <v>6</v>
      </c>
    </row>
    <row r="1424" spans="1:12">
      <c r="A1424" t="s">
        <v>1377</v>
      </c>
      <c r="B1424">
        <v>379555</v>
      </c>
      <c r="C1424" s="2" t="str">
        <f>"TPB20-MRN"</f>
        <v>TPB20-MRN</v>
      </c>
      <c r="D1424" t="s">
        <v>1455</v>
      </c>
      <c r="E1424" t="s">
        <v>4</v>
      </c>
      <c r="F1424">
        <v>26</v>
      </c>
      <c r="G1424">
        <v>3.25</v>
      </c>
      <c r="H1424" t="s">
        <v>1456</v>
      </c>
      <c r="I1424" s="1">
        <v>36.5</v>
      </c>
      <c r="J1424" s="1">
        <v>36.5</v>
      </c>
      <c r="K1424" t="s">
        <v>21</v>
      </c>
      <c r="L1424" s="1">
        <v>40.15</v>
      </c>
    </row>
    <row r="1425" spans="1:12">
      <c r="A1425" t="s">
        <v>1377</v>
      </c>
      <c r="B1425">
        <v>379557</v>
      </c>
      <c r="C1425" s="2" t="str">
        <f>"TPB24MRN"</f>
        <v>TPB24MRN</v>
      </c>
      <c r="D1425" t="s">
        <v>1457</v>
      </c>
      <c r="E1425" t="s">
        <v>4</v>
      </c>
      <c r="F1425">
        <v>34</v>
      </c>
      <c r="G1425">
        <v>4.25</v>
      </c>
      <c r="H1425" t="s">
        <v>1456</v>
      </c>
      <c r="I1425" s="1">
        <v>49.32</v>
      </c>
      <c r="J1425" s="1">
        <v>49.32</v>
      </c>
      <c r="K1425" t="s">
        <v>21</v>
      </c>
      <c r="L1425" s="1">
        <v>54.25</v>
      </c>
    </row>
    <row r="1426" spans="1:12">
      <c r="A1426" t="s">
        <v>1458</v>
      </c>
      <c r="B1426">
        <v>483668</v>
      </c>
      <c r="C1426" s="2" t="str">
        <f>"1001GY"</f>
        <v>1001GY</v>
      </c>
      <c r="D1426" t="s">
        <v>1459</v>
      </c>
      <c r="E1426" t="s">
        <v>4</v>
      </c>
      <c r="F1426">
        <v>19.14</v>
      </c>
      <c r="G1426">
        <v>3.19</v>
      </c>
      <c r="H1426" t="s">
        <v>20</v>
      </c>
      <c r="I1426" s="1">
        <v>14.47</v>
      </c>
      <c r="J1426" s="1">
        <v>14.47</v>
      </c>
      <c r="K1426" t="s">
        <v>21</v>
      </c>
      <c r="L1426" s="1">
        <v>15.92</v>
      </c>
    </row>
    <row r="1427" spans="1:12">
      <c r="A1427" t="s">
        <v>1458</v>
      </c>
      <c r="B1427">
        <v>483672</v>
      </c>
      <c r="C1427" s="2" t="str">
        <f>"1001WH"</f>
        <v>1001WH</v>
      </c>
      <c r="D1427" t="s">
        <v>1460</v>
      </c>
      <c r="E1427" t="s">
        <v>4</v>
      </c>
      <c r="F1427">
        <v>19.14</v>
      </c>
      <c r="G1427">
        <v>3.19</v>
      </c>
      <c r="H1427" t="s">
        <v>20</v>
      </c>
      <c r="I1427" s="1">
        <v>14.47</v>
      </c>
      <c r="J1427" s="1">
        <v>14.47</v>
      </c>
      <c r="K1427" t="s">
        <v>21</v>
      </c>
      <c r="L1427" s="1">
        <v>15.92</v>
      </c>
    </row>
    <row r="1428" spans="1:12">
      <c r="A1428" t="s">
        <v>1458</v>
      </c>
      <c r="B1428">
        <v>483680</v>
      </c>
      <c r="C1428" s="2" t="str">
        <f>"1002GY"</f>
        <v>1002GY</v>
      </c>
      <c r="D1428" t="s">
        <v>1461</v>
      </c>
      <c r="E1428" t="s">
        <v>4</v>
      </c>
      <c r="F1428">
        <v>5.4</v>
      </c>
      <c r="G1428">
        <v>0.9</v>
      </c>
      <c r="H1428" t="s">
        <v>20</v>
      </c>
      <c r="I1428" s="1">
        <v>5.24</v>
      </c>
      <c r="J1428" s="1">
        <v>5.24</v>
      </c>
      <c r="K1428" t="s">
        <v>21</v>
      </c>
      <c r="L1428" s="1">
        <v>5.76</v>
      </c>
    </row>
    <row r="1429" spans="1:12">
      <c r="A1429" t="s">
        <v>1458</v>
      </c>
      <c r="B1429">
        <v>483681</v>
      </c>
      <c r="C1429" s="2" t="str">
        <f>"1002WH"</f>
        <v>1002WH</v>
      </c>
      <c r="D1429" t="s">
        <v>1462</v>
      </c>
      <c r="E1429" t="s">
        <v>4</v>
      </c>
      <c r="F1429">
        <v>5.4</v>
      </c>
      <c r="G1429">
        <v>0.9</v>
      </c>
      <c r="H1429" t="s">
        <v>20</v>
      </c>
      <c r="I1429" s="1">
        <v>5.24</v>
      </c>
      <c r="J1429" s="1">
        <v>5.24</v>
      </c>
      <c r="K1429" t="s">
        <v>21</v>
      </c>
      <c r="L1429" s="1">
        <v>5.76</v>
      </c>
    </row>
    <row r="1430" spans="1:12">
      <c r="A1430" t="s">
        <v>1458</v>
      </c>
      <c r="B1430">
        <v>393202</v>
      </c>
      <c r="C1430" s="2" t="str">
        <f>"101MF"</f>
        <v>101MF</v>
      </c>
      <c r="D1430" t="s">
        <v>1463</v>
      </c>
      <c r="E1430" t="s">
        <v>4</v>
      </c>
      <c r="F1430">
        <v>22.8</v>
      </c>
      <c r="G1430">
        <v>1.9</v>
      </c>
      <c r="H1430" t="s">
        <v>106</v>
      </c>
      <c r="I1430" s="1">
        <v>32.94</v>
      </c>
      <c r="J1430" s="1">
        <v>32.94</v>
      </c>
      <c r="K1430" t="s">
        <v>457</v>
      </c>
      <c r="L1430" s="1">
        <v>36.24</v>
      </c>
    </row>
    <row r="1431" spans="1:12">
      <c r="A1431" t="s">
        <v>1458</v>
      </c>
      <c r="B1431">
        <v>379972</v>
      </c>
      <c r="C1431" s="2" t="str">
        <f>"105"</f>
        <v>105</v>
      </c>
      <c r="D1431" t="s">
        <v>1464</v>
      </c>
      <c r="E1431" t="s">
        <v>4</v>
      </c>
      <c r="F1431">
        <v>2</v>
      </c>
      <c r="H1431" t="s">
        <v>5</v>
      </c>
      <c r="I1431" s="1">
        <v>56.86</v>
      </c>
      <c r="J1431" s="1">
        <v>56.86</v>
      </c>
      <c r="K1431" t="s">
        <v>6</v>
      </c>
    </row>
    <row r="1432" spans="1:12">
      <c r="A1432" t="s">
        <v>1458</v>
      </c>
      <c r="B1432">
        <v>408968</v>
      </c>
      <c r="C1432" s="2" t="str">
        <f>"1182"</f>
        <v>1182</v>
      </c>
      <c r="D1432" t="s">
        <v>1465</v>
      </c>
      <c r="E1432" t="s">
        <v>4</v>
      </c>
      <c r="F1432">
        <v>8.64</v>
      </c>
      <c r="H1432" t="s">
        <v>5</v>
      </c>
      <c r="I1432" s="1">
        <v>68.73</v>
      </c>
      <c r="J1432" s="1">
        <v>67.540000000000006</v>
      </c>
      <c r="K1432" t="s">
        <v>6</v>
      </c>
    </row>
    <row r="1433" spans="1:12">
      <c r="A1433" t="s">
        <v>1458</v>
      </c>
      <c r="B1433">
        <v>400785</v>
      </c>
      <c r="C1433" s="2" t="str">
        <f>"119"</f>
        <v>119</v>
      </c>
      <c r="D1433" t="s">
        <v>1466</v>
      </c>
      <c r="E1433" t="s">
        <v>4</v>
      </c>
      <c r="F1433">
        <v>15.78</v>
      </c>
      <c r="G1433">
        <v>2.63</v>
      </c>
      <c r="H1433" t="s">
        <v>20</v>
      </c>
      <c r="I1433" s="1">
        <v>15.18</v>
      </c>
      <c r="J1433" s="1">
        <v>15.18</v>
      </c>
      <c r="K1433" t="s">
        <v>457</v>
      </c>
      <c r="L1433" s="1">
        <v>16.7</v>
      </c>
    </row>
    <row r="1434" spans="1:12">
      <c r="A1434" t="s">
        <v>1458</v>
      </c>
      <c r="B1434">
        <v>483701</v>
      </c>
      <c r="C1434" s="2" t="str">
        <f>"1358BE"</f>
        <v>1358BE</v>
      </c>
      <c r="D1434" t="s">
        <v>1467</v>
      </c>
      <c r="E1434" t="s">
        <v>4</v>
      </c>
      <c r="F1434">
        <v>15</v>
      </c>
      <c r="G1434">
        <v>1.25</v>
      </c>
      <c r="H1434" t="s">
        <v>106</v>
      </c>
      <c r="I1434" s="1">
        <v>4.8099999999999996</v>
      </c>
      <c r="J1434" s="1">
        <v>4.8099999999999996</v>
      </c>
      <c r="K1434" t="s">
        <v>21</v>
      </c>
      <c r="L1434" s="1">
        <v>5.29</v>
      </c>
    </row>
    <row r="1435" spans="1:12">
      <c r="A1435" t="s">
        <v>1458</v>
      </c>
      <c r="B1435">
        <v>483702</v>
      </c>
      <c r="C1435" s="2" t="str">
        <f>"1358BK"</f>
        <v>1358BK</v>
      </c>
      <c r="D1435" t="s">
        <v>1468</v>
      </c>
      <c r="E1435" t="s">
        <v>4</v>
      </c>
      <c r="F1435">
        <v>15</v>
      </c>
      <c r="G1435">
        <v>1.25</v>
      </c>
      <c r="H1435" t="s">
        <v>106</v>
      </c>
      <c r="I1435" s="1">
        <v>4.8099999999999996</v>
      </c>
      <c r="J1435" s="1">
        <v>4.8099999999999996</v>
      </c>
      <c r="K1435" t="s">
        <v>21</v>
      </c>
      <c r="L1435" s="1">
        <v>5.29</v>
      </c>
    </row>
    <row r="1436" spans="1:12">
      <c r="A1436" t="s">
        <v>1458</v>
      </c>
      <c r="B1436">
        <v>373929</v>
      </c>
      <c r="C1436" s="2" t="str">
        <f>"1425BN"</f>
        <v>1425BN</v>
      </c>
      <c r="D1436" t="s">
        <v>1469</v>
      </c>
      <c r="E1436" t="s">
        <v>4</v>
      </c>
      <c r="F1436">
        <v>23.5</v>
      </c>
      <c r="H1436" t="s">
        <v>5</v>
      </c>
      <c r="I1436" s="1">
        <v>169.08</v>
      </c>
      <c r="J1436" s="1">
        <v>169.08</v>
      </c>
      <c r="K1436" t="s">
        <v>6</v>
      </c>
    </row>
    <row r="1437" spans="1:12">
      <c r="A1437" t="s">
        <v>1458</v>
      </c>
      <c r="B1437">
        <v>500071</v>
      </c>
      <c r="C1437" s="2" t="str">
        <f>"164-1"</f>
        <v>164-1</v>
      </c>
      <c r="D1437" t="s">
        <v>1470</v>
      </c>
      <c r="E1437" t="s">
        <v>4</v>
      </c>
      <c r="F1437">
        <v>22.44</v>
      </c>
      <c r="G1437">
        <v>3.74</v>
      </c>
      <c r="H1437" t="s">
        <v>20</v>
      </c>
      <c r="I1437" s="1">
        <v>13.88</v>
      </c>
      <c r="J1437" s="1">
        <v>13.88</v>
      </c>
      <c r="K1437" t="s">
        <v>1471</v>
      </c>
      <c r="L1437" s="1">
        <v>15.27</v>
      </c>
    </row>
    <row r="1438" spans="1:12">
      <c r="A1438" t="s">
        <v>1458</v>
      </c>
      <c r="B1438">
        <v>489818</v>
      </c>
      <c r="C1438" s="2" t="str">
        <f>"165-2"</f>
        <v>165-2</v>
      </c>
      <c r="D1438" t="s">
        <v>1472</v>
      </c>
      <c r="E1438" t="s">
        <v>4</v>
      </c>
      <c r="F1438">
        <v>3.74</v>
      </c>
      <c r="H1438" t="s">
        <v>5</v>
      </c>
      <c r="I1438" s="1">
        <v>17.649999999999999</v>
      </c>
      <c r="J1438" s="1">
        <v>17.649999999999999</v>
      </c>
      <c r="K1438" t="s">
        <v>6</v>
      </c>
    </row>
    <row r="1439" spans="1:12">
      <c r="A1439" t="s">
        <v>1458</v>
      </c>
      <c r="B1439">
        <v>483696</v>
      </c>
      <c r="C1439" s="2" t="str">
        <f>"1702BE"</f>
        <v>1702BE</v>
      </c>
      <c r="D1439" t="s">
        <v>1473</v>
      </c>
      <c r="E1439" t="s">
        <v>4</v>
      </c>
      <c r="F1439">
        <v>17.760000000000002</v>
      </c>
      <c r="G1439">
        <v>4.4400000000000004</v>
      </c>
      <c r="H1439" t="s">
        <v>153</v>
      </c>
      <c r="I1439" s="1">
        <v>25.68</v>
      </c>
      <c r="J1439" s="1">
        <v>25.68</v>
      </c>
      <c r="K1439" t="s">
        <v>21</v>
      </c>
      <c r="L1439" s="1">
        <v>28.24</v>
      </c>
    </row>
    <row r="1440" spans="1:12">
      <c r="A1440" t="s">
        <v>1458</v>
      </c>
      <c r="B1440">
        <v>398326</v>
      </c>
      <c r="C1440" s="2" t="str">
        <f>"1800"</f>
        <v>1800</v>
      </c>
      <c r="D1440" t="s">
        <v>1474</v>
      </c>
      <c r="E1440" t="s">
        <v>4</v>
      </c>
      <c r="F1440">
        <v>4</v>
      </c>
      <c r="G1440">
        <v>2</v>
      </c>
      <c r="H1440" t="s">
        <v>175</v>
      </c>
      <c r="I1440" s="1">
        <v>17.850000000000001</v>
      </c>
      <c r="J1440" s="1">
        <v>17.850000000000001</v>
      </c>
      <c r="K1440" t="s">
        <v>457</v>
      </c>
      <c r="L1440" s="1">
        <v>19.63</v>
      </c>
    </row>
    <row r="1441" spans="1:12">
      <c r="A1441" t="s">
        <v>1458</v>
      </c>
      <c r="B1441">
        <v>483673</v>
      </c>
      <c r="C1441" s="2" t="str">
        <f>"2000GY"</f>
        <v>2000GY</v>
      </c>
      <c r="D1441" t="s">
        <v>1475</v>
      </c>
      <c r="E1441" t="s">
        <v>4</v>
      </c>
      <c r="F1441">
        <v>38.76</v>
      </c>
      <c r="G1441">
        <v>6.46</v>
      </c>
      <c r="H1441" t="s">
        <v>20</v>
      </c>
      <c r="I1441" s="1">
        <v>22.53</v>
      </c>
      <c r="J1441" s="1">
        <v>22.53</v>
      </c>
      <c r="K1441" t="s">
        <v>21</v>
      </c>
      <c r="L1441" s="1">
        <v>24.78</v>
      </c>
    </row>
    <row r="1442" spans="1:12">
      <c r="A1442" t="s">
        <v>1458</v>
      </c>
      <c r="B1442">
        <v>483674</v>
      </c>
      <c r="C1442" s="2" t="str">
        <f>"2000WH"</f>
        <v>2000WH</v>
      </c>
      <c r="D1442" t="s">
        <v>1476</v>
      </c>
      <c r="E1442" t="s">
        <v>4</v>
      </c>
      <c r="F1442">
        <v>37.86</v>
      </c>
      <c r="G1442">
        <v>6.31</v>
      </c>
      <c r="H1442" t="s">
        <v>20</v>
      </c>
      <c r="I1442" s="1">
        <v>22.53</v>
      </c>
      <c r="J1442" s="1">
        <v>22.53</v>
      </c>
      <c r="K1442" t="s">
        <v>21</v>
      </c>
      <c r="L1442" s="1">
        <v>24.78</v>
      </c>
    </row>
    <row r="1443" spans="1:12">
      <c r="A1443" t="s">
        <v>1458</v>
      </c>
      <c r="B1443">
        <v>483682</v>
      </c>
      <c r="C1443" s="2" t="str">
        <f>"2001GY"</f>
        <v>2001GY</v>
      </c>
      <c r="D1443" t="s">
        <v>1477</v>
      </c>
      <c r="E1443" t="s">
        <v>4</v>
      </c>
      <c r="F1443">
        <v>10.199999999999999</v>
      </c>
      <c r="G1443">
        <v>1.7</v>
      </c>
      <c r="H1443" t="s">
        <v>20</v>
      </c>
      <c r="I1443" s="1">
        <v>6.24</v>
      </c>
      <c r="J1443" s="1">
        <v>6.24</v>
      </c>
      <c r="K1443" t="s">
        <v>21</v>
      </c>
      <c r="L1443" s="1">
        <v>6.86</v>
      </c>
    </row>
    <row r="1444" spans="1:12">
      <c r="A1444" t="s">
        <v>1458</v>
      </c>
      <c r="B1444">
        <v>483683</v>
      </c>
      <c r="C1444" s="2" t="str">
        <f>"2001WH"</f>
        <v>2001WH</v>
      </c>
      <c r="D1444" t="s">
        <v>1478</v>
      </c>
      <c r="E1444" t="s">
        <v>4</v>
      </c>
      <c r="F1444">
        <v>10.199999999999999</v>
      </c>
      <c r="G1444">
        <v>1.7</v>
      </c>
      <c r="H1444" t="s">
        <v>20</v>
      </c>
      <c r="I1444" s="1">
        <v>6.24</v>
      </c>
      <c r="J1444" s="1">
        <v>6.24</v>
      </c>
      <c r="K1444" t="s">
        <v>21</v>
      </c>
      <c r="L1444" s="1">
        <v>6.86</v>
      </c>
    </row>
    <row r="1445" spans="1:12">
      <c r="A1445" t="s">
        <v>1458</v>
      </c>
      <c r="B1445">
        <v>561337</v>
      </c>
      <c r="C1445" s="2" t="str">
        <f>"222YW"</f>
        <v>222YW</v>
      </c>
      <c r="D1445" t="s">
        <v>1479</v>
      </c>
      <c r="E1445" t="s">
        <v>4</v>
      </c>
      <c r="F1445">
        <v>7.98</v>
      </c>
      <c r="G1445">
        <v>1.33</v>
      </c>
      <c r="H1445" t="s">
        <v>20</v>
      </c>
      <c r="I1445" s="1">
        <v>38.090000000000003</v>
      </c>
      <c r="J1445" s="1">
        <v>36.18</v>
      </c>
      <c r="K1445" t="s">
        <v>457</v>
      </c>
      <c r="L1445" s="1">
        <v>39.799999999999997</v>
      </c>
    </row>
    <row r="1446" spans="1:12">
      <c r="A1446" t="s">
        <v>1458</v>
      </c>
      <c r="B1446">
        <v>487489</v>
      </c>
      <c r="C1446" s="2" t="str">
        <f>"226-312YW"</f>
        <v>226-312YW</v>
      </c>
      <c r="D1446" t="s">
        <v>1480</v>
      </c>
      <c r="E1446" t="s">
        <v>4</v>
      </c>
      <c r="F1446">
        <v>17.46</v>
      </c>
      <c r="H1446" t="s">
        <v>5</v>
      </c>
      <c r="I1446" s="1">
        <v>63.67</v>
      </c>
      <c r="J1446" s="1">
        <v>63.67</v>
      </c>
      <c r="K1446" t="s">
        <v>6</v>
      </c>
    </row>
    <row r="1447" spans="1:12">
      <c r="A1447" t="s">
        <v>1458</v>
      </c>
      <c r="B1447">
        <v>385596</v>
      </c>
      <c r="C1447" s="2" t="str">
        <f>"226-3YW"</f>
        <v>226-3YW</v>
      </c>
      <c r="D1447" t="s">
        <v>1481</v>
      </c>
      <c r="E1447" t="s">
        <v>4</v>
      </c>
      <c r="F1447">
        <v>23.31</v>
      </c>
      <c r="H1447" t="s">
        <v>5</v>
      </c>
      <c r="I1447" s="1">
        <v>46.32</v>
      </c>
      <c r="J1447" s="1">
        <v>46.32</v>
      </c>
      <c r="K1447" t="s">
        <v>6</v>
      </c>
    </row>
    <row r="1448" spans="1:12">
      <c r="A1448" t="s">
        <v>1458</v>
      </c>
      <c r="B1448">
        <v>399889</v>
      </c>
      <c r="C1448" s="2" t="str">
        <f>"2400"</f>
        <v>2400</v>
      </c>
      <c r="D1448" t="s">
        <v>1482</v>
      </c>
      <c r="E1448" t="s">
        <v>4</v>
      </c>
      <c r="F1448">
        <v>5</v>
      </c>
      <c r="G1448">
        <v>2.5</v>
      </c>
      <c r="H1448" t="s">
        <v>175</v>
      </c>
      <c r="I1448" s="1">
        <v>22.97</v>
      </c>
      <c r="J1448" s="1">
        <v>22.97</v>
      </c>
      <c r="K1448" t="s">
        <v>457</v>
      </c>
      <c r="L1448" s="1">
        <v>25.27</v>
      </c>
    </row>
    <row r="1449" spans="1:12">
      <c r="A1449" t="s">
        <v>1458</v>
      </c>
      <c r="B1449">
        <v>379992</v>
      </c>
      <c r="C1449" s="2" t="str">
        <f>"250K"</f>
        <v>250K</v>
      </c>
      <c r="D1449" t="s">
        <v>1483</v>
      </c>
      <c r="E1449" t="s">
        <v>4</v>
      </c>
      <c r="F1449">
        <v>8</v>
      </c>
      <c r="H1449" t="s">
        <v>5</v>
      </c>
      <c r="I1449" s="1">
        <v>42.26</v>
      </c>
      <c r="J1449" s="1">
        <v>42.26</v>
      </c>
      <c r="K1449" t="s">
        <v>6</v>
      </c>
    </row>
    <row r="1450" spans="1:12">
      <c r="A1450" t="s">
        <v>1458</v>
      </c>
      <c r="B1450">
        <v>400371</v>
      </c>
      <c r="C1450" s="2" t="str">
        <f>"250W-6"</f>
        <v>250W-6</v>
      </c>
      <c r="D1450" t="s">
        <v>1484</v>
      </c>
      <c r="E1450" t="s">
        <v>4</v>
      </c>
      <c r="F1450">
        <v>21.96</v>
      </c>
      <c r="G1450">
        <v>3.66</v>
      </c>
      <c r="H1450" t="s">
        <v>20</v>
      </c>
      <c r="I1450" s="1">
        <v>30.41</v>
      </c>
      <c r="J1450" s="1">
        <v>30.41</v>
      </c>
      <c r="K1450" t="s">
        <v>457</v>
      </c>
      <c r="L1450" s="1">
        <v>33.450000000000003</v>
      </c>
    </row>
    <row r="1451" spans="1:12">
      <c r="A1451" t="s">
        <v>1458</v>
      </c>
      <c r="B1451">
        <v>483695</v>
      </c>
      <c r="C1451" s="2" t="str">
        <f>"25BE"</f>
        <v>25BE</v>
      </c>
      <c r="D1451" t="s">
        <v>1485</v>
      </c>
      <c r="E1451" t="s">
        <v>4</v>
      </c>
      <c r="F1451">
        <v>33.32</v>
      </c>
      <c r="G1451">
        <v>8.33</v>
      </c>
      <c r="H1451" t="s">
        <v>153</v>
      </c>
      <c r="I1451" s="1">
        <v>52.18</v>
      </c>
      <c r="J1451" s="1">
        <v>52.18</v>
      </c>
      <c r="K1451" t="s">
        <v>21</v>
      </c>
      <c r="L1451" s="1">
        <v>57.4</v>
      </c>
    </row>
    <row r="1452" spans="1:12">
      <c r="A1452" t="s">
        <v>1458</v>
      </c>
      <c r="B1452">
        <v>483699</v>
      </c>
      <c r="C1452" s="2" t="str">
        <f>"2818BE"</f>
        <v>2818BE</v>
      </c>
      <c r="D1452" t="s">
        <v>1486</v>
      </c>
      <c r="E1452" t="s">
        <v>4</v>
      </c>
      <c r="F1452">
        <v>27</v>
      </c>
      <c r="G1452">
        <v>2.25</v>
      </c>
      <c r="H1452" t="s">
        <v>106</v>
      </c>
      <c r="I1452" s="1">
        <v>5.1100000000000003</v>
      </c>
      <c r="J1452" s="1">
        <v>5.1100000000000003</v>
      </c>
      <c r="K1452" t="s">
        <v>21</v>
      </c>
      <c r="L1452" s="1">
        <v>5.62</v>
      </c>
    </row>
    <row r="1453" spans="1:12">
      <c r="A1453" t="s">
        <v>1458</v>
      </c>
      <c r="B1453">
        <v>483700</v>
      </c>
      <c r="C1453" s="2" t="str">
        <f>"2818BK"</f>
        <v>2818BK</v>
      </c>
      <c r="D1453" t="s">
        <v>1487</v>
      </c>
      <c r="E1453" t="s">
        <v>4</v>
      </c>
      <c r="F1453">
        <v>27</v>
      </c>
      <c r="G1453">
        <v>2.25</v>
      </c>
      <c r="H1453" t="s">
        <v>106</v>
      </c>
      <c r="I1453" s="1">
        <v>5.1100000000000003</v>
      </c>
      <c r="J1453" s="1">
        <v>5.1100000000000003</v>
      </c>
      <c r="K1453" t="s">
        <v>21</v>
      </c>
      <c r="L1453" s="1">
        <v>5.62</v>
      </c>
    </row>
    <row r="1454" spans="1:12">
      <c r="A1454" t="s">
        <v>1458</v>
      </c>
      <c r="B1454">
        <v>484998</v>
      </c>
      <c r="C1454" s="2" t="str">
        <f>"3200-1"</f>
        <v>3200-1</v>
      </c>
      <c r="D1454" t="s">
        <v>1488</v>
      </c>
      <c r="E1454" t="s">
        <v>4</v>
      </c>
      <c r="F1454">
        <v>57.6</v>
      </c>
      <c r="G1454">
        <v>9.6</v>
      </c>
      <c r="H1454" t="s">
        <v>20</v>
      </c>
      <c r="I1454" s="1">
        <v>29.82</v>
      </c>
      <c r="J1454" s="1">
        <v>29.82</v>
      </c>
      <c r="K1454" t="s">
        <v>21</v>
      </c>
      <c r="L1454" s="1">
        <v>32.799999999999997</v>
      </c>
    </row>
    <row r="1455" spans="1:12">
      <c r="A1455" t="s">
        <v>1458</v>
      </c>
      <c r="B1455">
        <v>483675</v>
      </c>
      <c r="C1455" s="2" t="str">
        <f>"3200GY"</f>
        <v>3200GY</v>
      </c>
      <c r="D1455" t="s">
        <v>1489</v>
      </c>
      <c r="E1455" t="s">
        <v>4</v>
      </c>
      <c r="F1455">
        <v>57.6</v>
      </c>
      <c r="G1455">
        <v>9.6</v>
      </c>
      <c r="H1455" t="s">
        <v>20</v>
      </c>
      <c r="I1455" s="1">
        <v>29.82</v>
      </c>
      <c r="J1455" s="1">
        <v>29.82</v>
      </c>
      <c r="K1455" t="s">
        <v>21</v>
      </c>
      <c r="L1455" s="1">
        <v>32.799999999999997</v>
      </c>
    </row>
    <row r="1456" spans="1:12">
      <c r="A1456" t="s">
        <v>1458</v>
      </c>
      <c r="B1456">
        <v>483676</v>
      </c>
      <c r="C1456" s="2" t="str">
        <f>"3200WH"</f>
        <v>3200WH</v>
      </c>
      <c r="D1456" t="s">
        <v>1490</v>
      </c>
      <c r="E1456" t="s">
        <v>4</v>
      </c>
      <c r="F1456">
        <v>57.6</v>
      </c>
      <c r="G1456">
        <v>9.6</v>
      </c>
      <c r="H1456" t="s">
        <v>20</v>
      </c>
      <c r="I1456" s="1">
        <v>29.82</v>
      </c>
      <c r="J1456" s="1">
        <v>29.82</v>
      </c>
      <c r="K1456" t="s">
        <v>21</v>
      </c>
      <c r="L1456" s="1">
        <v>32.799999999999997</v>
      </c>
    </row>
    <row r="1457" spans="1:12">
      <c r="A1457" t="s">
        <v>1458</v>
      </c>
      <c r="B1457">
        <v>483684</v>
      </c>
      <c r="C1457" s="2" t="str">
        <f>"3201GY"</f>
        <v>3201GY</v>
      </c>
      <c r="D1457" t="s">
        <v>1491</v>
      </c>
      <c r="E1457" t="s">
        <v>4</v>
      </c>
      <c r="F1457">
        <v>13.8</v>
      </c>
      <c r="G1457">
        <v>2.2999999999999998</v>
      </c>
      <c r="H1457" t="s">
        <v>20</v>
      </c>
      <c r="I1457" s="1">
        <v>9.18</v>
      </c>
      <c r="J1457" s="1">
        <v>9.18</v>
      </c>
      <c r="K1457" t="s">
        <v>21</v>
      </c>
      <c r="L1457" s="1">
        <v>10.1</v>
      </c>
    </row>
    <row r="1458" spans="1:12">
      <c r="A1458" t="s">
        <v>1458</v>
      </c>
      <c r="B1458">
        <v>483685</v>
      </c>
      <c r="C1458" s="2" t="str">
        <f>"3201WH"</f>
        <v>3201WH</v>
      </c>
      <c r="D1458" t="s">
        <v>1492</v>
      </c>
      <c r="E1458" t="s">
        <v>4</v>
      </c>
      <c r="F1458">
        <v>13.8</v>
      </c>
      <c r="G1458">
        <v>2.2999999999999998</v>
      </c>
      <c r="H1458" t="s">
        <v>20</v>
      </c>
      <c r="I1458" s="1">
        <v>9.18</v>
      </c>
      <c r="J1458" s="1">
        <v>9.18</v>
      </c>
      <c r="K1458" t="s">
        <v>21</v>
      </c>
      <c r="L1458" s="1">
        <v>10.1</v>
      </c>
    </row>
    <row r="1459" spans="1:12">
      <c r="A1459" t="s">
        <v>1458</v>
      </c>
      <c r="B1459">
        <v>483688</v>
      </c>
      <c r="C1459" s="2" t="str">
        <f>"3255"</f>
        <v>3255</v>
      </c>
      <c r="D1459" t="s">
        <v>1493</v>
      </c>
      <c r="E1459" t="s">
        <v>4</v>
      </c>
      <c r="F1459">
        <v>12</v>
      </c>
      <c r="G1459">
        <v>6</v>
      </c>
      <c r="H1459" t="s">
        <v>175</v>
      </c>
      <c r="I1459" s="1">
        <v>46.96</v>
      </c>
      <c r="J1459" s="1">
        <v>46.96</v>
      </c>
      <c r="K1459" t="s">
        <v>21</v>
      </c>
      <c r="L1459" s="1">
        <v>51.65</v>
      </c>
    </row>
    <row r="1460" spans="1:12">
      <c r="A1460" t="s">
        <v>1458</v>
      </c>
      <c r="B1460">
        <v>413555</v>
      </c>
      <c r="C1460" s="2" t="str">
        <f>"335-37YW"</f>
        <v>335-37YW</v>
      </c>
      <c r="D1460" t="s">
        <v>1494</v>
      </c>
      <c r="E1460" t="s">
        <v>4</v>
      </c>
      <c r="F1460">
        <v>28</v>
      </c>
      <c r="H1460" t="s">
        <v>5</v>
      </c>
      <c r="I1460" s="1">
        <v>117.08</v>
      </c>
      <c r="J1460" s="1">
        <v>117.08</v>
      </c>
      <c r="K1460" t="s">
        <v>6</v>
      </c>
    </row>
    <row r="1461" spans="1:12">
      <c r="A1461" t="s">
        <v>1458</v>
      </c>
      <c r="B1461">
        <v>390552</v>
      </c>
      <c r="C1461" s="2" t="str">
        <f>"335-3YW"</f>
        <v>335-3YW</v>
      </c>
      <c r="D1461" t="s">
        <v>1495</v>
      </c>
      <c r="E1461" t="s">
        <v>4</v>
      </c>
      <c r="F1461">
        <v>16</v>
      </c>
      <c r="H1461" t="s">
        <v>5</v>
      </c>
      <c r="I1461" s="1">
        <v>52.94</v>
      </c>
      <c r="J1461" s="1">
        <v>52.94</v>
      </c>
      <c r="K1461" t="s">
        <v>6</v>
      </c>
    </row>
    <row r="1462" spans="1:12">
      <c r="A1462" t="s">
        <v>1458</v>
      </c>
      <c r="B1462">
        <v>384445</v>
      </c>
      <c r="C1462" s="2" t="str">
        <f>"351YW"</f>
        <v>351YW</v>
      </c>
      <c r="D1462" t="s">
        <v>1496</v>
      </c>
      <c r="E1462" t="s">
        <v>4</v>
      </c>
      <c r="F1462">
        <v>11.5</v>
      </c>
      <c r="H1462" t="s">
        <v>5</v>
      </c>
      <c r="I1462" s="1">
        <v>111.94</v>
      </c>
      <c r="J1462" s="1">
        <v>111.94</v>
      </c>
      <c r="K1462" t="s">
        <v>6</v>
      </c>
    </row>
    <row r="1463" spans="1:12">
      <c r="A1463" t="s">
        <v>1458</v>
      </c>
      <c r="B1463">
        <v>437900</v>
      </c>
      <c r="C1463" s="2" t="str">
        <f>"404-3YW"</f>
        <v>404-3YW</v>
      </c>
      <c r="D1463" t="s">
        <v>1497</v>
      </c>
      <c r="E1463" t="s">
        <v>4</v>
      </c>
      <c r="F1463">
        <v>15</v>
      </c>
      <c r="H1463" t="s">
        <v>5</v>
      </c>
      <c r="I1463" s="1">
        <v>71.709999999999994</v>
      </c>
      <c r="J1463" s="1">
        <v>71.709999999999994</v>
      </c>
      <c r="K1463" t="s">
        <v>6</v>
      </c>
    </row>
    <row r="1464" spans="1:12">
      <c r="A1464" t="s">
        <v>1458</v>
      </c>
      <c r="B1464">
        <v>483697</v>
      </c>
      <c r="C1464" s="2" t="str">
        <f>"4114BE"</f>
        <v>4114BE</v>
      </c>
      <c r="D1464" t="s">
        <v>1498</v>
      </c>
      <c r="E1464" t="s">
        <v>4</v>
      </c>
      <c r="F1464">
        <v>35.159999999999997</v>
      </c>
      <c r="G1464">
        <v>2.93</v>
      </c>
      <c r="H1464" t="s">
        <v>106</v>
      </c>
      <c r="I1464" s="1">
        <v>9.8699999999999992</v>
      </c>
      <c r="J1464" s="1">
        <v>9.8699999999999992</v>
      </c>
      <c r="K1464" t="s">
        <v>21</v>
      </c>
      <c r="L1464" s="1">
        <v>10.85</v>
      </c>
    </row>
    <row r="1465" spans="1:12">
      <c r="A1465" t="s">
        <v>1458</v>
      </c>
      <c r="B1465">
        <v>483698</v>
      </c>
      <c r="C1465" s="2" t="str">
        <f>"4114BK"</f>
        <v>4114BK</v>
      </c>
      <c r="D1465" t="s">
        <v>1499</v>
      </c>
      <c r="E1465" t="s">
        <v>4</v>
      </c>
      <c r="F1465">
        <v>35.159999999999997</v>
      </c>
      <c r="G1465">
        <v>2.93</v>
      </c>
      <c r="H1465" t="s">
        <v>106</v>
      </c>
      <c r="I1465" s="1">
        <v>9.8699999999999992</v>
      </c>
      <c r="J1465" s="1">
        <v>9.8699999999999992</v>
      </c>
      <c r="K1465" t="s">
        <v>21</v>
      </c>
      <c r="L1465" s="1">
        <v>10.85</v>
      </c>
    </row>
    <row r="1466" spans="1:12">
      <c r="A1466" t="s">
        <v>1458</v>
      </c>
      <c r="B1466">
        <v>379928</v>
      </c>
      <c r="C1466" s="2" t="str">
        <f>"43"</f>
        <v>43</v>
      </c>
      <c r="D1466" t="s">
        <v>1500</v>
      </c>
      <c r="E1466" t="s">
        <v>4</v>
      </c>
      <c r="F1466">
        <v>36.130000000000003</v>
      </c>
      <c r="H1466" t="s">
        <v>5</v>
      </c>
      <c r="I1466" s="1">
        <v>125.28</v>
      </c>
      <c r="J1466" s="1">
        <v>125.28</v>
      </c>
      <c r="K1466" t="s">
        <v>6</v>
      </c>
    </row>
    <row r="1467" spans="1:12">
      <c r="A1467" t="s">
        <v>1458</v>
      </c>
      <c r="B1467">
        <v>483677</v>
      </c>
      <c r="C1467" s="2" t="str">
        <f>"4444GY"</f>
        <v>4444GY</v>
      </c>
      <c r="D1467" t="s">
        <v>1501</v>
      </c>
      <c r="E1467" t="s">
        <v>4</v>
      </c>
      <c r="F1467">
        <v>50.48</v>
      </c>
      <c r="G1467">
        <v>12.62</v>
      </c>
      <c r="H1467" t="s">
        <v>153</v>
      </c>
      <c r="I1467" s="1">
        <v>45.02</v>
      </c>
      <c r="J1467" s="1">
        <v>45.02</v>
      </c>
      <c r="K1467" t="s">
        <v>21</v>
      </c>
      <c r="L1467" s="1">
        <v>49.52</v>
      </c>
    </row>
    <row r="1468" spans="1:12">
      <c r="A1468" t="s">
        <v>1458</v>
      </c>
      <c r="B1468">
        <v>483678</v>
      </c>
      <c r="C1468" s="2" t="str">
        <f>"4444WH"</f>
        <v>4444WH</v>
      </c>
      <c r="D1468" t="s">
        <v>1502</v>
      </c>
      <c r="E1468" t="s">
        <v>4</v>
      </c>
      <c r="F1468">
        <v>50.48</v>
      </c>
      <c r="G1468">
        <v>12.62</v>
      </c>
      <c r="H1468" t="s">
        <v>153</v>
      </c>
      <c r="I1468" s="1">
        <v>45.02</v>
      </c>
      <c r="J1468" s="1">
        <v>45.02</v>
      </c>
      <c r="K1468" t="s">
        <v>21</v>
      </c>
      <c r="L1468" s="1">
        <v>49.52</v>
      </c>
    </row>
    <row r="1469" spans="1:12">
      <c r="A1469" t="s">
        <v>1458</v>
      </c>
      <c r="B1469">
        <v>483686</v>
      </c>
      <c r="C1469" s="2" t="str">
        <f>"4445GY"</f>
        <v>4445GY</v>
      </c>
      <c r="D1469" t="s">
        <v>1503</v>
      </c>
      <c r="E1469" t="s">
        <v>4</v>
      </c>
      <c r="F1469">
        <v>11.24</v>
      </c>
      <c r="G1469">
        <v>2.81</v>
      </c>
      <c r="H1469" t="s">
        <v>153</v>
      </c>
      <c r="I1469" s="1">
        <v>15.93</v>
      </c>
      <c r="J1469" s="1">
        <v>15.93</v>
      </c>
      <c r="K1469" t="s">
        <v>21</v>
      </c>
      <c r="L1469" s="1">
        <v>17.52</v>
      </c>
    </row>
    <row r="1470" spans="1:12">
      <c r="A1470" t="s">
        <v>1458</v>
      </c>
      <c r="B1470">
        <v>483687</v>
      </c>
      <c r="C1470" s="2" t="str">
        <f>"4445WH"</f>
        <v>4445WH</v>
      </c>
      <c r="D1470" t="s">
        <v>1504</v>
      </c>
      <c r="E1470" t="s">
        <v>4</v>
      </c>
      <c r="F1470">
        <v>11.24</v>
      </c>
      <c r="G1470">
        <v>2.81</v>
      </c>
      <c r="H1470" t="s">
        <v>153</v>
      </c>
      <c r="I1470" s="1">
        <v>15.93</v>
      </c>
      <c r="J1470" s="1">
        <v>15.93</v>
      </c>
      <c r="K1470" t="s">
        <v>21</v>
      </c>
      <c r="L1470" s="1">
        <v>17.52</v>
      </c>
    </row>
    <row r="1471" spans="1:12">
      <c r="A1471" t="s">
        <v>1458</v>
      </c>
      <c r="B1471">
        <v>379925</v>
      </c>
      <c r="C1471" s="2" t="str">
        <f>"516"</f>
        <v>516</v>
      </c>
      <c r="D1471" t="s">
        <v>1505</v>
      </c>
      <c r="E1471" t="s">
        <v>4</v>
      </c>
      <c r="F1471">
        <v>1.41</v>
      </c>
      <c r="H1471" t="s">
        <v>5</v>
      </c>
      <c r="I1471" s="1">
        <v>22</v>
      </c>
      <c r="J1471" s="1">
        <v>22</v>
      </c>
      <c r="K1471" t="s">
        <v>6</v>
      </c>
    </row>
    <row r="1472" spans="1:12">
      <c r="A1472" t="s">
        <v>1458</v>
      </c>
      <c r="B1472">
        <v>369931</v>
      </c>
      <c r="C1472" s="2" t="str">
        <f>"523BK"</f>
        <v>523BK</v>
      </c>
      <c r="D1472" t="s">
        <v>1506</v>
      </c>
      <c r="E1472" t="s">
        <v>4</v>
      </c>
      <c r="F1472">
        <v>8.3000000000000007</v>
      </c>
      <c r="H1472" t="s">
        <v>5</v>
      </c>
      <c r="I1472" s="1">
        <v>55.11</v>
      </c>
      <c r="J1472" s="1">
        <v>55.11</v>
      </c>
      <c r="K1472" t="s">
        <v>6</v>
      </c>
    </row>
    <row r="1473" spans="1:12">
      <c r="A1473" t="s">
        <v>1458</v>
      </c>
      <c r="B1473">
        <v>394834</v>
      </c>
      <c r="C1473" s="2" t="str">
        <f>"5325"</f>
        <v>5325</v>
      </c>
      <c r="D1473" t="s">
        <v>1507</v>
      </c>
      <c r="E1473" t="s">
        <v>4</v>
      </c>
      <c r="F1473">
        <v>25.1</v>
      </c>
      <c r="G1473">
        <v>2.5099999999999998</v>
      </c>
      <c r="H1473" t="s">
        <v>108</v>
      </c>
      <c r="I1473" s="1">
        <v>63.25</v>
      </c>
      <c r="J1473" s="1">
        <v>63.25</v>
      </c>
      <c r="K1473" t="s">
        <v>457</v>
      </c>
      <c r="L1473" s="1">
        <v>69.569999999999993</v>
      </c>
    </row>
    <row r="1474" spans="1:12">
      <c r="A1474" t="s">
        <v>1458</v>
      </c>
      <c r="B1474">
        <v>399881</v>
      </c>
      <c r="C1474" s="2" t="str">
        <f>"5327"</f>
        <v>5327</v>
      </c>
      <c r="D1474" t="s">
        <v>1508</v>
      </c>
      <c r="E1474" t="s">
        <v>4</v>
      </c>
      <c r="F1474">
        <v>18.7</v>
      </c>
      <c r="G1474">
        <v>3.74</v>
      </c>
      <c r="H1474" t="s">
        <v>151</v>
      </c>
      <c r="I1474" s="1">
        <v>93.46</v>
      </c>
      <c r="J1474" s="1">
        <v>93.46</v>
      </c>
      <c r="K1474" t="s">
        <v>457</v>
      </c>
      <c r="L1474" s="1">
        <v>102.8</v>
      </c>
    </row>
    <row r="1475" spans="1:12">
      <c r="A1475" t="s">
        <v>1458</v>
      </c>
      <c r="B1475">
        <v>483679</v>
      </c>
      <c r="C1475" s="2" t="str">
        <f>"5500GY"</f>
        <v>5500GY</v>
      </c>
      <c r="D1475" t="s">
        <v>1509</v>
      </c>
      <c r="E1475" t="s">
        <v>4</v>
      </c>
      <c r="F1475">
        <v>52.44</v>
      </c>
      <c r="G1475">
        <v>17.48</v>
      </c>
      <c r="H1475" t="s">
        <v>189</v>
      </c>
      <c r="I1475" s="1">
        <v>69.2</v>
      </c>
      <c r="J1475" s="1">
        <v>69.2</v>
      </c>
      <c r="K1475" t="s">
        <v>21</v>
      </c>
      <c r="L1475" s="1">
        <v>76.12</v>
      </c>
    </row>
    <row r="1476" spans="1:12">
      <c r="A1476" t="s">
        <v>1458</v>
      </c>
      <c r="B1476">
        <v>484335</v>
      </c>
      <c r="C1476" s="2" t="str">
        <f>"5501GY"</f>
        <v>5501GY</v>
      </c>
      <c r="D1476" t="s">
        <v>1510</v>
      </c>
      <c r="E1476" t="s">
        <v>4</v>
      </c>
      <c r="F1476">
        <v>12.75</v>
      </c>
      <c r="G1476">
        <v>4.25</v>
      </c>
      <c r="H1476" t="s">
        <v>189</v>
      </c>
      <c r="I1476" s="1">
        <v>23.1</v>
      </c>
      <c r="J1476" s="1">
        <v>23.1</v>
      </c>
      <c r="K1476" t="s">
        <v>21</v>
      </c>
      <c r="L1476" s="1">
        <v>25.41</v>
      </c>
    </row>
    <row r="1477" spans="1:12">
      <c r="A1477" t="s">
        <v>1458</v>
      </c>
      <c r="B1477">
        <v>484333</v>
      </c>
      <c r="C1477" s="2" t="str">
        <f>"5550GY"</f>
        <v>5550GY</v>
      </c>
      <c r="D1477" t="s">
        <v>1511</v>
      </c>
      <c r="E1477" t="s">
        <v>4</v>
      </c>
      <c r="F1477">
        <v>19.36</v>
      </c>
      <c r="G1477">
        <v>9.68</v>
      </c>
      <c r="H1477" t="s">
        <v>175</v>
      </c>
      <c r="I1477" s="1">
        <v>88.19</v>
      </c>
      <c r="J1477" s="1">
        <v>88.19</v>
      </c>
      <c r="K1477" t="s">
        <v>21</v>
      </c>
      <c r="L1477" s="1">
        <v>97.01</v>
      </c>
    </row>
    <row r="1478" spans="1:12">
      <c r="A1478" t="s">
        <v>1458</v>
      </c>
      <c r="B1478">
        <v>368422</v>
      </c>
      <c r="C1478" s="2" t="str">
        <f>"5805-BE"</f>
        <v>5805-BE</v>
      </c>
      <c r="D1478" t="s">
        <v>1512</v>
      </c>
      <c r="E1478" t="s">
        <v>4</v>
      </c>
      <c r="F1478">
        <v>42.6</v>
      </c>
      <c r="H1478" t="s">
        <v>5</v>
      </c>
      <c r="I1478" s="1">
        <v>191.96</v>
      </c>
      <c r="J1478" s="1">
        <v>191.96</v>
      </c>
      <c r="K1478" t="s">
        <v>6</v>
      </c>
    </row>
    <row r="1479" spans="1:12">
      <c r="A1479" t="s">
        <v>1458</v>
      </c>
      <c r="B1479">
        <v>369941</v>
      </c>
      <c r="C1479" s="2" t="str">
        <f>"5810-BK"</f>
        <v>5810-BK</v>
      </c>
      <c r="D1479" t="s">
        <v>1513</v>
      </c>
      <c r="E1479" t="s">
        <v>4</v>
      </c>
      <c r="F1479">
        <v>24.33</v>
      </c>
      <c r="H1479" t="s">
        <v>5</v>
      </c>
      <c r="I1479" s="1">
        <v>186.07</v>
      </c>
      <c r="J1479" s="1">
        <v>186.07</v>
      </c>
      <c r="K1479" t="s">
        <v>6</v>
      </c>
    </row>
    <row r="1480" spans="1:12">
      <c r="A1480" t="s">
        <v>1458</v>
      </c>
      <c r="B1480">
        <v>377376</v>
      </c>
      <c r="C1480" s="2" t="str">
        <f>"5811-BK"</f>
        <v>5811-BK</v>
      </c>
      <c r="D1480" t="s">
        <v>1514</v>
      </c>
      <c r="E1480" t="s">
        <v>4</v>
      </c>
      <c r="F1480">
        <v>4</v>
      </c>
      <c r="H1480" t="s">
        <v>5</v>
      </c>
      <c r="I1480" s="1">
        <v>56.62</v>
      </c>
      <c r="J1480" s="1">
        <v>56.62</v>
      </c>
      <c r="K1480" t="s">
        <v>6</v>
      </c>
    </row>
    <row r="1481" spans="1:12">
      <c r="A1481" t="s">
        <v>1458</v>
      </c>
      <c r="B1481">
        <v>377377</v>
      </c>
      <c r="C1481" s="2" t="str">
        <f>"5812-BK"</f>
        <v>5812-BK</v>
      </c>
      <c r="D1481" t="s">
        <v>1515</v>
      </c>
      <c r="E1481" t="s">
        <v>4</v>
      </c>
      <c r="F1481">
        <v>8</v>
      </c>
      <c r="H1481" t="s">
        <v>5</v>
      </c>
      <c r="I1481" s="1">
        <v>119.72</v>
      </c>
      <c r="J1481" s="1">
        <v>119.72</v>
      </c>
      <c r="K1481" t="s">
        <v>6</v>
      </c>
    </row>
    <row r="1482" spans="1:12">
      <c r="A1482" t="s">
        <v>1458</v>
      </c>
      <c r="B1482">
        <v>538289</v>
      </c>
      <c r="C1482" s="2" t="str">
        <f>"596"</f>
        <v>596</v>
      </c>
      <c r="D1482" t="s">
        <v>1516</v>
      </c>
      <c r="E1482" t="s">
        <v>4</v>
      </c>
      <c r="F1482">
        <v>18.12</v>
      </c>
      <c r="G1482">
        <v>1.51</v>
      </c>
      <c r="H1482" t="s">
        <v>106</v>
      </c>
      <c r="I1482" s="1">
        <v>13.6</v>
      </c>
      <c r="J1482" s="1">
        <v>12.92</v>
      </c>
      <c r="K1482" t="s">
        <v>21</v>
      </c>
      <c r="L1482" s="1">
        <v>14.21</v>
      </c>
    </row>
    <row r="1483" spans="1:12">
      <c r="A1483" t="s">
        <v>1458</v>
      </c>
      <c r="B1483">
        <v>538293</v>
      </c>
      <c r="C1483" s="2" t="str">
        <f>"601"</f>
        <v>601</v>
      </c>
      <c r="D1483" t="s">
        <v>1517</v>
      </c>
      <c r="E1483" t="s">
        <v>4</v>
      </c>
      <c r="F1483">
        <v>16.8</v>
      </c>
      <c r="G1483">
        <v>1.4</v>
      </c>
      <c r="H1483" t="s">
        <v>106</v>
      </c>
      <c r="I1483" s="1">
        <v>16.02</v>
      </c>
      <c r="J1483" s="1">
        <v>15.21</v>
      </c>
      <c r="K1483" t="s">
        <v>21</v>
      </c>
      <c r="L1483" s="1">
        <v>16.73</v>
      </c>
    </row>
    <row r="1484" spans="1:12">
      <c r="A1484" t="s">
        <v>1458</v>
      </c>
      <c r="B1484">
        <v>538288</v>
      </c>
      <c r="C1484" s="2" t="str">
        <f>"608"</f>
        <v>608</v>
      </c>
      <c r="D1484" t="s">
        <v>1518</v>
      </c>
      <c r="E1484" t="s">
        <v>4</v>
      </c>
      <c r="F1484">
        <v>18.36</v>
      </c>
      <c r="G1484">
        <v>1.53</v>
      </c>
      <c r="H1484" t="s">
        <v>106</v>
      </c>
      <c r="I1484" s="1">
        <v>16.02</v>
      </c>
      <c r="J1484" s="1">
        <v>15.21</v>
      </c>
      <c r="K1484" t="s">
        <v>21</v>
      </c>
      <c r="L1484" s="1">
        <v>16.73</v>
      </c>
    </row>
    <row r="1485" spans="1:12">
      <c r="A1485" t="s">
        <v>1458</v>
      </c>
      <c r="B1485">
        <v>368515</v>
      </c>
      <c r="C1485" s="2" t="str">
        <f>"712BLACK"</f>
        <v>712BLACK</v>
      </c>
      <c r="D1485" t="s">
        <v>1519</v>
      </c>
      <c r="E1485" t="s">
        <v>4</v>
      </c>
      <c r="F1485">
        <v>5.0999999999999996</v>
      </c>
      <c r="H1485" t="s">
        <v>5</v>
      </c>
      <c r="I1485" s="1">
        <v>35.299999999999997</v>
      </c>
      <c r="J1485" s="1">
        <v>35.299999999999997</v>
      </c>
      <c r="K1485" t="s">
        <v>6</v>
      </c>
    </row>
    <row r="1486" spans="1:12">
      <c r="A1486" t="s">
        <v>1458</v>
      </c>
      <c r="B1486">
        <v>390237</v>
      </c>
      <c r="C1486" s="2" t="str">
        <f>"716"</f>
        <v>716</v>
      </c>
      <c r="D1486" t="s">
        <v>1520</v>
      </c>
      <c r="E1486" t="s">
        <v>4</v>
      </c>
      <c r="F1486">
        <v>26.88</v>
      </c>
      <c r="H1486" t="s">
        <v>5</v>
      </c>
      <c r="I1486" s="1">
        <v>101.37</v>
      </c>
      <c r="J1486" s="1">
        <v>101.37</v>
      </c>
      <c r="K1486" t="s">
        <v>6</v>
      </c>
    </row>
    <row r="1487" spans="1:12">
      <c r="A1487" t="s">
        <v>1458</v>
      </c>
      <c r="B1487">
        <v>503766</v>
      </c>
      <c r="C1487" s="2" t="str">
        <f>"7325GY"</f>
        <v>7325GY</v>
      </c>
      <c r="D1487" t="s">
        <v>1521</v>
      </c>
      <c r="E1487" t="s">
        <v>4</v>
      </c>
      <c r="F1487">
        <v>12.4</v>
      </c>
      <c r="G1487">
        <v>3.1</v>
      </c>
      <c r="H1487" t="s">
        <v>153</v>
      </c>
      <c r="I1487" s="1">
        <v>28.04</v>
      </c>
      <c r="J1487" s="1">
        <v>28.04</v>
      </c>
      <c r="K1487" t="s">
        <v>21</v>
      </c>
      <c r="L1487" s="1">
        <v>30.85</v>
      </c>
    </row>
    <row r="1488" spans="1:12">
      <c r="A1488" t="s">
        <v>1458</v>
      </c>
      <c r="B1488">
        <v>538290</v>
      </c>
      <c r="C1488" s="2" t="str">
        <f>"772"</f>
        <v>772</v>
      </c>
      <c r="D1488" t="s">
        <v>1522</v>
      </c>
      <c r="E1488" t="s">
        <v>4</v>
      </c>
      <c r="F1488">
        <v>32.4</v>
      </c>
      <c r="G1488">
        <v>2.7</v>
      </c>
      <c r="H1488" t="s">
        <v>106</v>
      </c>
      <c r="I1488" s="1">
        <v>13.96</v>
      </c>
      <c r="J1488" s="1">
        <v>13.26</v>
      </c>
      <c r="K1488" t="s">
        <v>21</v>
      </c>
      <c r="L1488" s="1">
        <v>14.59</v>
      </c>
    </row>
    <row r="1489" spans="1:12">
      <c r="A1489" t="s">
        <v>1458</v>
      </c>
      <c r="B1489">
        <v>483703</v>
      </c>
      <c r="C1489" s="2" t="str">
        <f>"8110GY"</f>
        <v>8110GY</v>
      </c>
      <c r="D1489" t="s">
        <v>1523</v>
      </c>
      <c r="E1489" t="s">
        <v>4</v>
      </c>
      <c r="F1489">
        <v>15.6</v>
      </c>
      <c r="G1489">
        <v>1.3</v>
      </c>
      <c r="H1489" t="s">
        <v>106</v>
      </c>
      <c r="I1489" s="1">
        <v>7.64</v>
      </c>
      <c r="J1489" s="1">
        <v>7.64</v>
      </c>
      <c r="K1489" t="s">
        <v>21</v>
      </c>
      <c r="L1489" s="1">
        <v>8.41</v>
      </c>
    </row>
    <row r="1490" spans="1:12">
      <c r="A1490" t="s">
        <v>1458</v>
      </c>
      <c r="B1490">
        <v>483704</v>
      </c>
      <c r="C1490" s="2" t="str">
        <f>"8114GY"</f>
        <v>8114GY</v>
      </c>
      <c r="D1490" t="s">
        <v>1524</v>
      </c>
      <c r="E1490" t="s">
        <v>4</v>
      </c>
      <c r="F1490">
        <v>11.4</v>
      </c>
      <c r="G1490">
        <v>1.9</v>
      </c>
      <c r="H1490" t="s">
        <v>20</v>
      </c>
      <c r="I1490" s="1">
        <v>11.99</v>
      </c>
      <c r="J1490" s="1">
        <v>11.99</v>
      </c>
      <c r="K1490" t="s">
        <v>21</v>
      </c>
      <c r="L1490" s="1">
        <v>13.18</v>
      </c>
    </row>
    <row r="1491" spans="1:12">
      <c r="A1491" t="s">
        <v>1458</v>
      </c>
      <c r="B1491">
        <v>484331</v>
      </c>
      <c r="C1491" s="2" t="str">
        <f>"8216GY"</f>
        <v>8216GY</v>
      </c>
      <c r="D1491" t="s">
        <v>1525</v>
      </c>
      <c r="E1491" t="s">
        <v>4</v>
      </c>
      <c r="F1491">
        <v>14.28</v>
      </c>
      <c r="G1491">
        <v>2.38</v>
      </c>
      <c r="H1491" t="s">
        <v>20</v>
      </c>
      <c r="I1491" s="1">
        <v>18.95</v>
      </c>
      <c r="J1491" s="1">
        <v>18.95</v>
      </c>
      <c r="K1491" t="s">
        <v>21</v>
      </c>
      <c r="L1491" s="1">
        <v>20.85</v>
      </c>
    </row>
    <row r="1492" spans="1:12">
      <c r="A1492" t="s">
        <v>1458</v>
      </c>
      <c r="B1492">
        <v>455160</v>
      </c>
      <c r="C1492" s="2" t="str">
        <f>"8252H"</f>
        <v>8252H</v>
      </c>
      <c r="D1492" t="s">
        <v>1526</v>
      </c>
      <c r="E1492" t="s">
        <v>4</v>
      </c>
      <c r="F1492">
        <v>17</v>
      </c>
      <c r="H1492" t="s">
        <v>5</v>
      </c>
      <c r="I1492" s="1">
        <v>213.08</v>
      </c>
      <c r="J1492" s="1">
        <v>213.08</v>
      </c>
      <c r="K1492" t="s">
        <v>6</v>
      </c>
    </row>
    <row r="1493" spans="1:12">
      <c r="A1493" t="s">
        <v>1458</v>
      </c>
      <c r="B1493">
        <v>483693</v>
      </c>
      <c r="C1493" s="2" t="str">
        <f>"8321BE"</f>
        <v>8321BE</v>
      </c>
      <c r="D1493" t="s">
        <v>1527</v>
      </c>
      <c r="E1493" t="s">
        <v>4</v>
      </c>
      <c r="F1493">
        <v>15.2</v>
      </c>
      <c r="G1493">
        <v>7.6</v>
      </c>
      <c r="H1493" t="s">
        <v>175</v>
      </c>
      <c r="I1493" s="1">
        <v>60.97</v>
      </c>
      <c r="J1493" s="1">
        <v>60.97</v>
      </c>
      <c r="K1493" t="s">
        <v>21</v>
      </c>
      <c r="L1493" s="1">
        <v>67.069999999999993</v>
      </c>
    </row>
    <row r="1494" spans="1:12">
      <c r="A1494" t="s">
        <v>1458</v>
      </c>
      <c r="B1494">
        <v>483694</v>
      </c>
      <c r="C1494" s="2" t="str">
        <f>"8321GY"</f>
        <v>8321GY</v>
      </c>
      <c r="D1494" t="s">
        <v>1528</v>
      </c>
      <c r="E1494" t="s">
        <v>4</v>
      </c>
      <c r="F1494">
        <v>15.2</v>
      </c>
      <c r="G1494">
        <v>7.6</v>
      </c>
      <c r="H1494" t="s">
        <v>175</v>
      </c>
      <c r="I1494" s="1">
        <v>60.97</v>
      </c>
      <c r="J1494" s="1">
        <v>60.97</v>
      </c>
      <c r="K1494" t="s">
        <v>21</v>
      </c>
      <c r="L1494" s="1">
        <v>67.069999999999993</v>
      </c>
    </row>
    <row r="1495" spans="1:12">
      <c r="A1495" t="s">
        <v>1458</v>
      </c>
      <c r="B1495">
        <v>503818</v>
      </c>
      <c r="C1495" s="2" t="str">
        <f>"8322BN"</f>
        <v>8322BN</v>
      </c>
      <c r="D1495" t="s">
        <v>1529</v>
      </c>
      <c r="E1495" t="s">
        <v>4</v>
      </c>
      <c r="F1495">
        <v>27.12</v>
      </c>
      <c r="G1495">
        <v>6.78</v>
      </c>
      <c r="H1495" t="s">
        <v>153</v>
      </c>
      <c r="I1495" s="1">
        <v>40.22</v>
      </c>
      <c r="J1495" s="1">
        <v>40.22</v>
      </c>
      <c r="K1495" t="s">
        <v>457</v>
      </c>
      <c r="L1495" s="1">
        <v>44.24</v>
      </c>
    </row>
    <row r="1496" spans="1:12">
      <c r="A1496" t="s">
        <v>1458</v>
      </c>
      <c r="B1496">
        <v>498959</v>
      </c>
      <c r="C1496" s="2" t="str">
        <f>"8322GY"</f>
        <v>8322GY</v>
      </c>
      <c r="D1496" t="s">
        <v>1530</v>
      </c>
      <c r="E1496" t="s">
        <v>4</v>
      </c>
      <c r="F1496">
        <v>132</v>
      </c>
      <c r="G1496">
        <v>8.25</v>
      </c>
      <c r="H1496" t="s">
        <v>153</v>
      </c>
      <c r="I1496" s="1">
        <v>42.63</v>
      </c>
      <c r="J1496" s="1">
        <v>42.63</v>
      </c>
      <c r="K1496" t="s">
        <v>457</v>
      </c>
      <c r="L1496" s="1">
        <v>46.89</v>
      </c>
    </row>
    <row r="1497" spans="1:12">
      <c r="A1497" t="s">
        <v>1458</v>
      </c>
      <c r="B1497">
        <v>457696</v>
      </c>
      <c r="C1497" s="2" t="str">
        <f>"887BE"</f>
        <v>887BE</v>
      </c>
      <c r="D1497" t="s">
        <v>1531</v>
      </c>
      <c r="E1497" t="s">
        <v>4</v>
      </c>
      <c r="F1497">
        <v>9</v>
      </c>
      <c r="H1497" t="s">
        <v>5</v>
      </c>
      <c r="I1497" s="1">
        <v>88.05</v>
      </c>
      <c r="J1497" s="1">
        <v>88.05</v>
      </c>
      <c r="K1497" t="s">
        <v>6</v>
      </c>
    </row>
    <row r="1498" spans="1:12">
      <c r="A1498" t="s">
        <v>1458</v>
      </c>
      <c r="B1498">
        <v>372851</v>
      </c>
      <c r="C1498" s="2" t="str">
        <f>"888 BK"</f>
        <v>888 BK</v>
      </c>
      <c r="D1498" t="s">
        <v>1532</v>
      </c>
      <c r="E1498" t="s">
        <v>4</v>
      </c>
      <c r="F1498">
        <v>7.31</v>
      </c>
      <c r="H1498" t="s">
        <v>5</v>
      </c>
      <c r="I1498" s="1">
        <v>50.84</v>
      </c>
      <c r="J1498" s="1">
        <v>50.84</v>
      </c>
      <c r="K1498" t="s">
        <v>6</v>
      </c>
    </row>
    <row r="1499" spans="1:12">
      <c r="A1499" t="s">
        <v>1458</v>
      </c>
      <c r="B1499">
        <v>499084</v>
      </c>
      <c r="C1499" s="2" t="str">
        <f>"902-3RW"</f>
        <v>902-3RW</v>
      </c>
      <c r="D1499" t="s">
        <v>1533</v>
      </c>
      <c r="E1499" t="s">
        <v>4</v>
      </c>
      <c r="F1499">
        <v>20.8</v>
      </c>
      <c r="G1499">
        <v>0.65</v>
      </c>
      <c r="H1499" t="s">
        <v>1534</v>
      </c>
      <c r="I1499" s="1">
        <v>5.36</v>
      </c>
      <c r="J1499" s="1">
        <v>5.36</v>
      </c>
      <c r="K1499" t="s">
        <v>1535</v>
      </c>
      <c r="L1499" s="1">
        <v>5.89</v>
      </c>
    </row>
    <row r="1500" spans="1:12">
      <c r="A1500" t="s">
        <v>1458</v>
      </c>
      <c r="B1500">
        <v>445567</v>
      </c>
      <c r="C1500" s="2" t="str">
        <f>"912BK"</f>
        <v>912BK</v>
      </c>
      <c r="D1500" t="s">
        <v>1536</v>
      </c>
      <c r="E1500" t="s">
        <v>4</v>
      </c>
      <c r="F1500">
        <v>57.6</v>
      </c>
      <c r="G1500">
        <v>9.6</v>
      </c>
      <c r="H1500" t="s">
        <v>20</v>
      </c>
      <c r="I1500" s="1">
        <v>16.29</v>
      </c>
      <c r="J1500" s="1">
        <v>16.29</v>
      </c>
      <c r="K1500" t="s">
        <v>457</v>
      </c>
      <c r="L1500" s="1">
        <v>17.920000000000002</v>
      </c>
    </row>
    <row r="1501" spans="1:12">
      <c r="A1501" t="s">
        <v>1458</v>
      </c>
      <c r="B1501">
        <v>459532</v>
      </c>
      <c r="C1501" s="2" t="str">
        <f>"991C"</f>
        <v>991C</v>
      </c>
      <c r="D1501" t="s">
        <v>1537</v>
      </c>
      <c r="E1501" t="s">
        <v>4</v>
      </c>
      <c r="F1501">
        <v>38.58</v>
      </c>
      <c r="G1501">
        <v>6.43</v>
      </c>
      <c r="H1501" t="s">
        <v>20</v>
      </c>
      <c r="I1501" s="1">
        <v>47.06</v>
      </c>
      <c r="J1501" s="1">
        <v>47.06</v>
      </c>
      <c r="K1501" t="s">
        <v>457</v>
      </c>
      <c r="L1501" s="1">
        <v>51.77</v>
      </c>
    </row>
    <row r="1502" spans="1:12">
      <c r="A1502" t="s">
        <v>1458</v>
      </c>
      <c r="B1502">
        <v>431775</v>
      </c>
      <c r="C1502" s="2" t="str">
        <f>"A02802.D02"</f>
        <v>A02802.D02</v>
      </c>
      <c r="D1502" t="s">
        <v>1538</v>
      </c>
      <c r="E1502" t="s">
        <v>4</v>
      </c>
      <c r="F1502">
        <v>3</v>
      </c>
      <c r="H1502" t="s">
        <v>5</v>
      </c>
      <c r="I1502" s="1">
        <v>18.100000000000001</v>
      </c>
      <c r="J1502" s="1">
        <v>17.64</v>
      </c>
      <c r="K1502" t="s">
        <v>6</v>
      </c>
    </row>
    <row r="1503" spans="1:12">
      <c r="A1503" t="s">
        <v>1458</v>
      </c>
      <c r="B1503">
        <v>431796</v>
      </c>
      <c r="C1503" s="2" t="str">
        <f>"A03312.D02"</f>
        <v>A03312.D02</v>
      </c>
      <c r="D1503" t="s">
        <v>1539</v>
      </c>
      <c r="E1503" t="s">
        <v>4</v>
      </c>
      <c r="F1503">
        <v>3</v>
      </c>
      <c r="H1503" t="s">
        <v>5</v>
      </c>
      <c r="I1503" s="1">
        <v>13.64</v>
      </c>
      <c r="J1503" s="1">
        <v>13.29</v>
      </c>
      <c r="K1503" t="s">
        <v>6</v>
      </c>
    </row>
    <row r="1504" spans="1:12">
      <c r="A1504" t="s">
        <v>1458</v>
      </c>
      <c r="B1504">
        <v>431451</v>
      </c>
      <c r="C1504" s="2" t="str">
        <f>"A04902.D02"</f>
        <v>A04902.D02</v>
      </c>
      <c r="D1504" t="s">
        <v>1540</v>
      </c>
      <c r="E1504" t="s">
        <v>4</v>
      </c>
      <c r="F1504">
        <v>2.5</v>
      </c>
      <c r="H1504" t="s">
        <v>5</v>
      </c>
      <c r="I1504" s="1">
        <v>13.18</v>
      </c>
      <c r="J1504" s="1">
        <v>12.84</v>
      </c>
      <c r="K1504" t="s">
        <v>6</v>
      </c>
    </row>
    <row r="1505" spans="1:12">
      <c r="A1505" t="s">
        <v>1458</v>
      </c>
      <c r="B1505">
        <v>380002</v>
      </c>
      <c r="C1505" s="2" t="str">
        <f>"A05011"</f>
        <v>A05011</v>
      </c>
      <c r="D1505" t="s">
        <v>1541</v>
      </c>
      <c r="E1505" t="s">
        <v>4</v>
      </c>
      <c r="F1505">
        <v>10.199999999999999</v>
      </c>
      <c r="H1505" t="s">
        <v>5</v>
      </c>
      <c r="I1505" s="1">
        <v>57.8</v>
      </c>
      <c r="J1505" s="1">
        <v>56.32</v>
      </c>
      <c r="K1505" t="s">
        <v>6</v>
      </c>
    </row>
    <row r="1506" spans="1:12">
      <c r="A1506" t="s">
        <v>1458</v>
      </c>
      <c r="B1506">
        <v>380004</v>
      </c>
      <c r="C1506" s="2" t="str">
        <f>"A05012"</f>
        <v>A05012</v>
      </c>
      <c r="D1506" t="s">
        <v>1542</v>
      </c>
      <c r="E1506" t="s">
        <v>4</v>
      </c>
      <c r="F1506">
        <v>13.8</v>
      </c>
      <c r="H1506" t="s">
        <v>5</v>
      </c>
      <c r="I1506" s="1">
        <v>75.89</v>
      </c>
      <c r="J1506" s="1">
        <v>73.959999999999994</v>
      </c>
      <c r="K1506" t="s">
        <v>6</v>
      </c>
    </row>
    <row r="1507" spans="1:12">
      <c r="A1507" t="s">
        <v>1458</v>
      </c>
      <c r="B1507">
        <v>380006</v>
      </c>
      <c r="C1507" s="2" t="str">
        <f>"A05013.1I4"</f>
        <v>A05013.1I4</v>
      </c>
      <c r="D1507" t="s">
        <v>1543</v>
      </c>
      <c r="E1507" t="s">
        <v>4</v>
      </c>
      <c r="F1507">
        <v>19.440000000000001</v>
      </c>
      <c r="H1507" t="s">
        <v>5</v>
      </c>
      <c r="I1507" s="1">
        <v>90.51</v>
      </c>
      <c r="J1507" s="1">
        <v>88.18</v>
      </c>
      <c r="K1507" t="s">
        <v>6</v>
      </c>
    </row>
    <row r="1508" spans="1:12">
      <c r="A1508" t="s">
        <v>1458</v>
      </c>
      <c r="B1508">
        <v>431768</v>
      </c>
      <c r="C1508" s="2" t="str">
        <f>"A05103.D02"</f>
        <v>A05103.D02</v>
      </c>
      <c r="D1508" t="s">
        <v>1544</v>
      </c>
      <c r="E1508" t="s">
        <v>4</v>
      </c>
      <c r="F1508">
        <v>4</v>
      </c>
      <c r="H1508" t="s">
        <v>5</v>
      </c>
      <c r="I1508" s="1">
        <v>17.559999999999999</v>
      </c>
      <c r="J1508" s="1">
        <v>17.12</v>
      </c>
      <c r="K1508" t="s">
        <v>6</v>
      </c>
    </row>
    <row r="1509" spans="1:12">
      <c r="A1509" t="s">
        <v>1458</v>
      </c>
      <c r="B1509">
        <v>431776</v>
      </c>
      <c r="C1509" s="2" t="str">
        <f>"A401124.D03"</f>
        <v>A401124.D03</v>
      </c>
      <c r="D1509" t="s">
        <v>1545</v>
      </c>
      <c r="E1509" t="s">
        <v>4</v>
      </c>
      <c r="F1509">
        <v>5.5</v>
      </c>
      <c r="H1509" t="s">
        <v>5</v>
      </c>
      <c r="I1509" s="1">
        <v>17.39</v>
      </c>
      <c r="J1509" s="1">
        <v>16.940000000000001</v>
      </c>
      <c r="K1509" t="s">
        <v>6</v>
      </c>
    </row>
    <row r="1510" spans="1:12">
      <c r="A1510" t="s">
        <v>1458</v>
      </c>
      <c r="B1510">
        <v>380013</v>
      </c>
      <c r="C1510" s="2" t="str">
        <f>"A414120.1I4"</f>
        <v>A414120.1I4</v>
      </c>
      <c r="D1510" t="s">
        <v>1546</v>
      </c>
      <c r="E1510" t="s">
        <v>4</v>
      </c>
      <c r="F1510">
        <v>15.96</v>
      </c>
      <c r="H1510" t="s">
        <v>5</v>
      </c>
      <c r="I1510" s="1">
        <v>78.790000000000006</v>
      </c>
      <c r="J1510" s="1">
        <v>76.77</v>
      </c>
      <c r="K1510" t="s">
        <v>6</v>
      </c>
    </row>
    <row r="1511" spans="1:12">
      <c r="A1511" t="s">
        <v>1458</v>
      </c>
      <c r="B1511">
        <v>380075</v>
      </c>
      <c r="C1511" s="2" t="str">
        <f>"A414124"</f>
        <v>A414124</v>
      </c>
      <c r="D1511" t="s">
        <v>1547</v>
      </c>
      <c r="E1511" t="s">
        <v>4</v>
      </c>
      <c r="F1511">
        <v>19</v>
      </c>
      <c r="H1511" t="s">
        <v>5</v>
      </c>
      <c r="I1511" s="1">
        <v>94.3</v>
      </c>
      <c r="J1511" s="1">
        <v>91.88</v>
      </c>
      <c r="K1511" t="s">
        <v>6</v>
      </c>
    </row>
    <row r="1512" spans="1:12">
      <c r="A1512" t="s">
        <v>1458</v>
      </c>
      <c r="B1512">
        <v>431790</v>
      </c>
      <c r="C1512" s="2" t="str">
        <f>"A414124.D03"</f>
        <v>A414124.D03</v>
      </c>
      <c r="D1512" t="s">
        <v>1548</v>
      </c>
      <c r="E1512" t="s">
        <v>4</v>
      </c>
      <c r="F1512">
        <v>5.5</v>
      </c>
      <c r="H1512" t="s">
        <v>5</v>
      </c>
      <c r="I1512" s="1">
        <v>24.6</v>
      </c>
      <c r="J1512" s="1">
        <v>23.96</v>
      </c>
      <c r="K1512" t="s">
        <v>6</v>
      </c>
    </row>
    <row r="1513" spans="1:12">
      <c r="A1513" t="s">
        <v>1458</v>
      </c>
      <c r="B1513">
        <v>399650</v>
      </c>
      <c r="C1513" s="2" t="str">
        <f>"A427124"</f>
        <v>A427124</v>
      </c>
      <c r="D1513" t="s">
        <v>1549</v>
      </c>
      <c r="E1513" t="s">
        <v>4</v>
      </c>
      <c r="F1513">
        <v>15.96</v>
      </c>
      <c r="H1513" t="s">
        <v>5</v>
      </c>
      <c r="I1513" s="1">
        <v>69.81</v>
      </c>
      <c r="J1513" s="1">
        <v>68.03</v>
      </c>
      <c r="K1513" t="s">
        <v>6</v>
      </c>
    </row>
    <row r="1514" spans="1:12">
      <c r="A1514" t="s">
        <v>1458</v>
      </c>
      <c r="B1514">
        <v>431797</v>
      </c>
      <c r="C1514" s="2" t="str">
        <f>"A605024"</f>
        <v>A605024</v>
      </c>
      <c r="D1514" t="s">
        <v>1550</v>
      </c>
      <c r="E1514" t="s">
        <v>4</v>
      </c>
      <c r="F1514">
        <v>15</v>
      </c>
      <c r="H1514" t="s">
        <v>5</v>
      </c>
      <c r="I1514" s="1">
        <v>53.77</v>
      </c>
      <c r="J1514" s="1">
        <v>50.95</v>
      </c>
      <c r="K1514" t="s">
        <v>6</v>
      </c>
    </row>
    <row r="1515" spans="1:12">
      <c r="A1515" t="s">
        <v>1458</v>
      </c>
      <c r="B1515">
        <v>521218</v>
      </c>
      <c r="C1515" s="2" t="str">
        <f>"A70902"</f>
        <v>A70902</v>
      </c>
      <c r="D1515" t="s">
        <v>1551</v>
      </c>
      <c r="E1515" t="s">
        <v>4</v>
      </c>
      <c r="F1515">
        <v>30.96</v>
      </c>
      <c r="G1515">
        <v>2.58</v>
      </c>
      <c r="H1515" t="s">
        <v>106</v>
      </c>
      <c r="I1515" s="1">
        <v>8.49</v>
      </c>
      <c r="J1515" s="1">
        <v>8.2799999999999994</v>
      </c>
      <c r="K1515" t="s">
        <v>21</v>
      </c>
      <c r="L1515" s="1">
        <v>9.11</v>
      </c>
    </row>
    <row r="1516" spans="1:12">
      <c r="A1516" t="s">
        <v>1458</v>
      </c>
      <c r="B1516">
        <v>431449</v>
      </c>
      <c r="C1516" s="2" t="str">
        <f>"A71302"</f>
        <v>A71302</v>
      </c>
      <c r="D1516" t="s">
        <v>1552</v>
      </c>
      <c r="E1516" t="s">
        <v>4</v>
      </c>
      <c r="F1516">
        <v>15</v>
      </c>
      <c r="H1516" t="s">
        <v>5</v>
      </c>
      <c r="I1516" s="1">
        <v>58.55</v>
      </c>
      <c r="J1516" s="1">
        <v>57.06</v>
      </c>
      <c r="K1516" t="s">
        <v>6</v>
      </c>
    </row>
    <row r="1517" spans="1:12">
      <c r="A1517" t="s">
        <v>1458</v>
      </c>
      <c r="B1517">
        <v>443837</v>
      </c>
      <c r="C1517" s="2" t="str">
        <f>"A901112"</f>
        <v>A901112</v>
      </c>
      <c r="D1517" t="s">
        <v>1553</v>
      </c>
      <c r="E1517" t="s">
        <v>4</v>
      </c>
      <c r="F1517">
        <v>13.42</v>
      </c>
      <c r="H1517" t="s">
        <v>5</v>
      </c>
      <c r="I1517" s="1">
        <v>38.03</v>
      </c>
      <c r="J1517" s="1">
        <v>37.049999999999997</v>
      </c>
      <c r="K1517" t="s">
        <v>6</v>
      </c>
    </row>
    <row r="1518" spans="1:12">
      <c r="A1518" t="s">
        <v>1458</v>
      </c>
      <c r="B1518">
        <v>379998</v>
      </c>
      <c r="C1518" s="2" t="str">
        <f>"A902116"</f>
        <v>A902116</v>
      </c>
      <c r="D1518" t="s">
        <v>1554</v>
      </c>
      <c r="E1518" t="s">
        <v>4</v>
      </c>
      <c r="F1518">
        <v>11.76</v>
      </c>
      <c r="H1518" t="s">
        <v>5</v>
      </c>
      <c r="I1518" s="1">
        <v>40.61</v>
      </c>
      <c r="J1518" s="1">
        <v>39.57</v>
      </c>
      <c r="K1518" t="s">
        <v>6</v>
      </c>
    </row>
    <row r="1519" spans="1:12">
      <c r="A1519" t="s">
        <v>1458</v>
      </c>
      <c r="B1519">
        <v>379999</v>
      </c>
      <c r="C1519" s="2" t="str">
        <f>"A903120.1I4"</f>
        <v>A903120.1I4</v>
      </c>
      <c r="D1519" t="s">
        <v>1555</v>
      </c>
      <c r="E1519" t="s">
        <v>4</v>
      </c>
      <c r="F1519">
        <v>16.920000000000002</v>
      </c>
      <c r="H1519" t="s">
        <v>5</v>
      </c>
      <c r="I1519" s="1">
        <v>54.91</v>
      </c>
      <c r="J1519" s="1">
        <v>53.5</v>
      </c>
      <c r="K1519" t="s">
        <v>6</v>
      </c>
    </row>
    <row r="1520" spans="1:12">
      <c r="A1520" t="s">
        <v>1458</v>
      </c>
      <c r="B1520">
        <v>431779</v>
      </c>
      <c r="C1520" s="2" t="str">
        <f>"A903120.D03"</f>
        <v>A903120.D03</v>
      </c>
      <c r="D1520" t="s">
        <v>1556</v>
      </c>
      <c r="E1520" t="s">
        <v>4</v>
      </c>
      <c r="F1520">
        <v>4.5</v>
      </c>
      <c r="H1520" t="s">
        <v>5</v>
      </c>
      <c r="I1520" s="1">
        <v>14.73</v>
      </c>
      <c r="J1520" s="1">
        <v>14.35</v>
      </c>
      <c r="K1520" t="s">
        <v>6</v>
      </c>
    </row>
    <row r="1521" spans="1:12">
      <c r="A1521" t="s">
        <v>1458</v>
      </c>
      <c r="B1521">
        <v>431783</v>
      </c>
      <c r="C1521" s="2" t="str">
        <f>"A903320.D03"</f>
        <v>A903320.D03</v>
      </c>
      <c r="D1521" t="s">
        <v>1557</v>
      </c>
      <c r="E1521" t="s">
        <v>4</v>
      </c>
      <c r="F1521">
        <v>4.5</v>
      </c>
      <c r="H1521" t="s">
        <v>5</v>
      </c>
      <c r="I1521" s="1">
        <v>16.91</v>
      </c>
      <c r="J1521" s="1">
        <v>16.47</v>
      </c>
      <c r="K1521" t="s">
        <v>6</v>
      </c>
    </row>
    <row r="1522" spans="1:12">
      <c r="A1522" t="s">
        <v>1458</v>
      </c>
      <c r="B1522">
        <v>380000</v>
      </c>
      <c r="C1522" s="2" t="str">
        <f>"A904128"</f>
        <v>A904128</v>
      </c>
      <c r="D1522" t="s">
        <v>1558</v>
      </c>
      <c r="E1522" t="s">
        <v>4</v>
      </c>
      <c r="F1522">
        <v>23.04</v>
      </c>
      <c r="H1522" t="s">
        <v>5</v>
      </c>
      <c r="I1522" s="1">
        <v>76.209999999999994</v>
      </c>
      <c r="J1522" s="1">
        <v>74.239999999999995</v>
      </c>
      <c r="K1522" t="s">
        <v>6</v>
      </c>
    </row>
    <row r="1523" spans="1:12">
      <c r="A1523" t="s">
        <v>1458</v>
      </c>
      <c r="B1523">
        <v>431781</v>
      </c>
      <c r="C1523" s="2" t="str">
        <f>"A904128.D03"</f>
        <v>A904128.D03</v>
      </c>
      <c r="D1523" t="s">
        <v>1559</v>
      </c>
      <c r="E1523" t="s">
        <v>4</v>
      </c>
      <c r="F1523">
        <v>6</v>
      </c>
      <c r="H1523" t="s">
        <v>5</v>
      </c>
      <c r="I1523" s="1">
        <v>20.100000000000001</v>
      </c>
      <c r="J1523" s="1">
        <v>19.59</v>
      </c>
      <c r="K1523" t="s">
        <v>6</v>
      </c>
    </row>
    <row r="1524" spans="1:12">
      <c r="A1524" t="s">
        <v>1458</v>
      </c>
      <c r="B1524">
        <v>488476</v>
      </c>
      <c r="C1524" s="2" t="str">
        <f>"A904324.1I4"</f>
        <v>A904324.1I4</v>
      </c>
      <c r="D1524" t="s">
        <v>1560</v>
      </c>
      <c r="E1524" t="s">
        <v>4</v>
      </c>
      <c r="F1524">
        <v>18</v>
      </c>
      <c r="H1524" t="s">
        <v>5</v>
      </c>
      <c r="I1524" s="1">
        <v>81.52</v>
      </c>
      <c r="J1524" s="1">
        <v>79.430000000000007</v>
      </c>
      <c r="K1524" t="s">
        <v>6</v>
      </c>
    </row>
    <row r="1525" spans="1:12">
      <c r="A1525" t="s">
        <v>1458</v>
      </c>
      <c r="B1525">
        <v>431795</v>
      </c>
      <c r="C1525" s="2" t="str">
        <f>"A913320.D03"</f>
        <v>A913320.D03</v>
      </c>
      <c r="D1525" t="s">
        <v>1561</v>
      </c>
      <c r="E1525" t="s">
        <v>4</v>
      </c>
      <c r="F1525">
        <v>4.5</v>
      </c>
      <c r="H1525" t="s">
        <v>5</v>
      </c>
      <c r="I1525" s="1">
        <v>23.82</v>
      </c>
      <c r="J1525" s="1">
        <v>23.21</v>
      </c>
      <c r="K1525" t="s">
        <v>6</v>
      </c>
    </row>
    <row r="1526" spans="1:12">
      <c r="A1526" t="s">
        <v>1458</v>
      </c>
      <c r="B1526">
        <v>423878</v>
      </c>
      <c r="C1526" s="2" t="str">
        <f>"CE502036"</f>
        <v>CE502036</v>
      </c>
      <c r="D1526" t="s">
        <v>1562</v>
      </c>
      <c r="E1526" t="s">
        <v>4</v>
      </c>
      <c r="F1526">
        <v>17.579999999999998</v>
      </c>
      <c r="H1526" t="s">
        <v>5</v>
      </c>
      <c r="I1526" s="1">
        <v>40.61</v>
      </c>
      <c r="J1526" s="1">
        <v>39.57</v>
      </c>
      <c r="K1526" t="s">
        <v>6</v>
      </c>
    </row>
    <row r="1527" spans="1:12">
      <c r="A1527" t="s">
        <v>1458</v>
      </c>
      <c r="B1527">
        <v>431800</v>
      </c>
      <c r="C1527" s="2" t="str">
        <f>"E502024"</f>
        <v>E502024</v>
      </c>
      <c r="D1527" t="s">
        <v>1563</v>
      </c>
      <c r="E1527" t="s">
        <v>4</v>
      </c>
      <c r="F1527">
        <v>12</v>
      </c>
      <c r="H1527" t="s">
        <v>5</v>
      </c>
      <c r="I1527" s="1">
        <v>28.68</v>
      </c>
      <c r="J1527" s="1">
        <v>27.17</v>
      </c>
      <c r="K1527" t="s">
        <v>6</v>
      </c>
    </row>
    <row r="1528" spans="1:12">
      <c r="A1528" t="s">
        <v>1458</v>
      </c>
      <c r="B1528">
        <v>431801</v>
      </c>
      <c r="C1528" s="2" t="str">
        <f>"E503500"</f>
        <v>E503500</v>
      </c>
      <c r="D1528" t="s">
        <v>1564</v>
      </c>
      <c r="E1528" t="s">
        <v>4</v>
      </c>
      <c r="F1528">
        <v>9</v>
      </c>
      <c r="H1528" t="s">
        <v>5</v>
      </c>
      <c r="I1528" s="1">
        <v>30.08</v>
      </c>
      <c r="J1528" s="1">
        <v>28.5</v>
      </c>
      <c r="K1528" t="s">
        <v>6</v>
      </c>
    </row>
    <row r="1529" spans="1:12">
      <c r="A1529" t="s">
        <v>1458</v>
      </c>
      <c r="B1529">
        <v>431804</v>
      </c>
      <c r="C1529" s="2" t="str">
        <f>"E503600"</f>
        <v>E503600</v>
      </c>
      <c r="D1529" t="s">
        <v>1565</v>
      </c>
      <c r="E1529" t="s">
        <v>4</v>
      </c>
      <c r="F1529">
        <v>7</v>
      </c>
      <c r="H1529" t="s">
        <v>5</v>
      </c>
      <c r="I1529" s="1">
        <v>37.19</v>
      </c>
      <c r="J1529" s="1">
        <v>35.24</v>
      </c>
      <c r="K1529" t="s">
        <v>6</v>
      </c>
    </row>
    <row r="1530" spans="1:12">
      <c r="A1530" t="s">
        <v>1458</v>
      </c>
      <c r="B1530">
        <v>431799</v>
      </c>
      <c r="C1530" s="2" t="str">
        <f>"E504028"</f>
        <v>E504028</v>
      </c>
      <c r="D1530" t="s">
        <v>1566</v>
      </c>
      <c r="E1530" t="s">
        <v>4</v>
      </c>
      <c r="F1530">
        <v>14</v>
      </c>
      <c r="H1530" t="s">
        <v>5</v>
      </c>
      <c r="I1530" s="1">
        <v>36.01</v>
      </c>
      <c r="J1530" s="1">
        <v>34.11</v>
      </c>
      <c r="K1530" t="s">
        <v>6</v>
      </c>
    </row>
    <row r="1531" spans="1:12">
      <c r="A1531" t="s">
        <v>1458</v>
      </c>
      <c r="B1531">
        <v>398332</v>
      </c>
      <c r="C1531" s="2" t="str">
        <f>"E507008"</f>
        <v>E507008</v>
      </c>
      <c r="D1531" t="s">
        <v>1567</v>
      </c>
      <c r="E1531" t="s">
        <v>4</v>
      </c>
      <c r="F1531">
        <v>18.72</v>
      </c>
      <c r="H1531" t="s">
        <v>5</v>
      </c>
      <c r="I1531" s="1">
        <v>80.91</v>
      </c>
      <c r="J1531" s="1">
        <v>76.66</v>
      </c>
      <c r="K1531" t="s">
        <v>6</v>
      </c>
    </row>
    <row r="1532" spans="1:12">
      <c r="A1532" t="s">
        <v>1458</v>
      </c>
      <c r="B1532">
        <v>431802</v>
      </c>
      <c r="C1532" s="2" t="str">
        <f>"E507012"</f>
        <v>E507012</v>
      </c>
      <c r="D1532" t="s">
        <v>1568</v>
      </c>
      <c r="E1532" t="s">
        <v>4</v>
      </c>
      <c r="F1532">
        <v>20</v>
      </c>
      <c r="H1532" t="s">
        <v>5</v>
      </c>
      <c r="I1532" s="1">
        <v>103.74</v>
      </c>
      <c r="J1532" s="1">
        <v>98.28</v>
      </c>
      <c r="K1532" t="s">
        <v>6</v>
      </c>
    </row>
    <row r="1533" spans="1:12">
      <c r="A1533" t="s">
        <v>1458</v>
      </c>
      <c r="B1533">
        <v>431803</v>
      </c>
      <c r="C1533" s="2" t="str">
        <f>"E515012"</f>
        <v>E515012</v>
      </c>
      <c r="D1533" t="s">
        <v>1569</v>
      </c>
      <c r="E1533" t="s">
        <v>4</v>
      </c>
      <c r="F1533">
        <v>12</v>
      </c>
      <c r="H1533" t="s">
        <v>5</v>
      </c>
      <c r="I1533" s="1">
        <v>69.510000000000005</v>
      </c>
      <c r="J1533" s="1">
        <v>65.849999999999994</v>
      </c>
      <c r="K1533" t="s">
        <v>6</v>
      </c>
    </row>
    <row r="1534" spans="1:12">
      <c r="A1534" t="s">
        <v>1458</v>
      </c>
      <c r="B1534">
        <v>379782</v>
      </c>
      <c r="C1534" s="2" t="str">
        <f>"F006124"</f>
        <v>F006124</v>
      </c>
      <c r="D1534" t="s">
        <v>1570</v>
      </c>
      <c r="E1534" t="s">
        <v>4</v>
      </c>
      <c r="F1534">
        <v>28.32</v>
      </c>
      <c r="G1534">
        <v>2.36</v>
      </c>
      <c r="H1534" t="s">
        <v>106</v>
      </c>
      <c r="I1534" s="1">
        <v>15</v>
      </c>
      <c r="J1534" s="1">
        <v>14.22</v>
      </c>
      <c r="K1534" t="s">
        <v>457</v>
      </c>
      <c r="L1534" s="1">
        <v>15.64</v>
      </c>
    </row>
    <row r="1535" spans="1:12">
      <c r="A1535" t="s">
        <v>1458</v>
      </c>
      <c r="B1535">
        <v>379790</v>
      </c>
      <c r="C1535" s="2" t="str">
        <f>"F007124"</f>
        <v>F007124</v>
      </c>
      <c r="D1535" t="s">
        <v>1571</v>
      </c>
      <c r="E1535" t="s">
        <v>4</v>
      </c>
      <c r="F1535">
        <v>28.92</v>
      </c>
      <c r="G1535">
        <v>2.41</v>
      </c>
      <c r="H1535" t="s">
        <v>106</v>
      </c>
      <c r="I1535" s="1">
        <v>14.57</v>
      </c>
      <c r="J1535" s="1">
        <v>14.2</v>
      </c>
      <c r="K1535" t="s">
        <v>457</v>
      </c>
      <c r="L1535" s="1">
        <v>15.62</v>
      </c>
    </row>
    <row r="1536" spans="1:12">
      <c r="A1536" t="s">
        <v>1458</v>
      </c>
      <c r="B1536">
        <v>379793</v>
      </c>
      <c r="C1536" s="2" t="str">
        <f>"F101124"</f>
        <v>F101124</v>
      </c>
      <c r="D1536" t="s">
        <v>1572</v>
      </c>
      <c r="E1536" t="s">
        <v>4</v>
      </c>
      <c r="F1536">
        <v>35.04</v>
      </c>
      <c r="G1536">
        <v>2.92</v>
      </c>
      <c r="H1536" t="s">
        <v>106</v>
      </c>
      <c r="I1536" s="1">
        <v>12.49</v>
      </c>
      <c r="J1536" s="1">
        <v>11.84</v>
      </c>
      <c r="K1536" t="s">
        <v>457</v>
      </c>
      <c r="L1536" s="1">
        <v>13.03</v>
      </c>
    </row>
    <row r="1537" spans="1:12">
      <c r="A1537" t="s">
        <v>1458</v>
      </c>
      <c r="B1537">
        <v>399887</v>
      </c>
      <c r="C1537" s="2" t="str">
        <f>"I001010"</f>
        <v>I001010</v>
      </c>
      <c r="D1537" t="s">
        <v>1573</v>
      </c>
      <c r="E1537" t="s">
        <v>4</v>
      </c>
      <c r="F1537">
        <v>12</v>
      </c>
      <c r="G1537">
        <v>1</v>
      </c>
      <c r="H1537" t="s">
        <v>106</v>
      </c>
      <c r="I1537" s="1">
        <v>5.27</v>
      </c>
      <c r="J1537" s="1">
        <v>5.14</v>
      </c>
      <c r="K1537" t="s">
        <v>457</v>
      </c>
      <c r="L1537" s="1">
        <v>5.65</v>
      </c>
    </row>
    <row r="1538" spans="1:12">
      <c r="A1538" t="s">
        <v>1458</v>
      </c>
      <c r="B1538">
        <v>431805</v>
      </c>
      <c r="C1538" s="2" t="str">
        <f>"I004000"</f>
        <v>I004000</v>
      </c>
      <c r="D1538" t="s">
        <v>1574</v>
      </c>
      <c r="E1538" t="s">
        <v>4</v>
      </c>
      <c r="F1538">
        <v>15.96</v>
      </c>
      <c r="G1538">
        <v>1.33</v>
      </c>
      <c r="H1538" t="s">
        <v>106</v>
      </c>
      <c r="I1538" s="1">
        <v>7.81</v>
      </c>
      <c r="J1538" s="1">
        <v>7.41</v>
      </c>
      <c r="K1538" t="s">
        <v>457</v>
      </c>
      <c r="L1538" s="1">
        <v>8.15</v>
      </c>
    </row>
    <row r="1539" spans="1:12">
      <c r="A1539" t="s">
        <v>1458</v>
      </c>
      <c r="B1539">
        <v>379989</v>
      </c>
      <c r="C1539" s="2" t="str">
        <f>"J507017"</f>
        <v>J507017</v>
      </c>
      <c r="D1539" t="s">
        <v>1575</v>
      </c>
      <c r="E1539" t="s">
        <v>4</v>
      </c>
      <c r="F1539">
        <v>3.96</v>
      </c>
      <c r="H1539" t="s">
        <v>5</v>
      </c>
      <c r="I1539" s="1">
        <v>30.84</v>
      </c>
      <c r="J1539" s="1">
        <v>30.04</v>
      </c>
      <c r="K1539" t="s">
        <v>6</v>
      </c>
    </row>
    <row r="1540" spans="1:12">
      <c r="A1540" t="s">
        <v>1458</v>
      </c>
      <c r="B1540">
        <v>379800</v>
      </c>
      <c r="C1540" s="2" t="str">
        <f>"M101060"</f>
        <v>M101060</v>
      </c>
      <c r="D1540" t="s">
        <v>1576</v>
      </c>
      <c r="E1540" t="s">
        <v>4</v>
      </c>
      <c r="F1540">
        <v>12</v>
      </c>
      <c r="H1540" t="s">
        <v>5</v>
      </c>
      <c r="I1540" s="1">
        <v>41.22</v>
      </c>
      <c r="J1540" s="1">
        <v>40.159999999999997</v>
      </c>
      <c r="K1540" t="s">
        <v>6</v>
      </c>
    </row>
    <row r="1541" spans="1:12">
      <c r="A1541" t="s">
        <v>1458</v>
      </c>
      <c r="B1541">
        <v>379803</v>
      </c>
      <c r="C1541" s="2" t="str">
        <f>"M105060"</f>
        <v>M105060</v>
      </c>
      <c r="D1541" t="s">
        <v>1577</v>
      </c>
      <c r="E1541" t="s">
        <v>4</v>
      </c>
      <c r="F1541">
        <v>20.04</v>
      </c>
      <c r="H1541" t="s">
        <v>5</v>
      </c>
      <c r="I1541" s="1">
        <v>54.98</v>
      </c>
      <c r="J1541" s="1">
        <v>52.09</v>
      </c>
      <c r="K1541" t="s">
        <v>6</v>
      </c>
    </row>
    <row r="1542" spans="1:12">
      <c r="A1542" t="s">
        <v>1458</v>
      </c>
      <c r="B1542">
        <v>379808</v>
      </c>
      <c r="C1542" s="2" t="str">
        <f>"M109060"</f>
        <v>M109060</v>
      </c>
      <c r="D1542" t="s">
        <v>1578</v>
      </c>
      <c r="E1542" t="s">
        <v>4</v>
      </c>
      <c r="F1542">
        <v>17.04</v>
      </c>
      <c r="H1542" t="s">
        <v>5</v>
      </c>
      <c r="I1542" s="1">
        <v>51.19</v>
      </c>
      <c r="J1542" s="1">
        <v>49.88</v>
      </c>
      <c r="K1542" t="s">
        <v>6</v>
      </c>
    </row>
    <row r="1543" spans="1:12">
      <c r="A1543" t="s">
        <v>1458</v>
      </c>
      <c r="B1543">
        <v>488902</v>
      </c>
      <c r="C1543" s="2" t="str">
        <f>"SW12YW"</f>
        <v>SW12YW</v>
      </c>
      <c r="D1543" t="s">
        <v>1579</v>
      </c>
      <c r="E1543" t="s">
        <v>4</v>
      </c>
      <c r="F1543">
        <v>7</v>
      </c>
      <c r="H1543" t="s">
        <v>5</v>
      </c>
      <c r="I1543" s="1">
        <v>65.7</v>
      </c>
      <c r="J1543" s="1">
        <v>65.7</v>
      </c>
      <c r="K1543" t="s">
        <v>6</v>
      </c>
    </row>
    <row r="1544" spans="1:12">
      <c r="A1544" t="s">
        <v>1458</v>
      </c>
      <c r="B1544">
        <v>410690</v>
      </c>
      <c r="C1544" s="2" t="str">
        <f>"SW7YW"</f>
        <v>SW7YW</v>
      </c>
      <c r="D1544" t="s">
        <v>1580</v>
      </c>
      <c r="E1544" t="s">
        <v>4</v>
      </c>
      <c r="F1544">
        <v>11</v>
      </c>
      <c r="H1544" t="s">
        <v>5</v>
      </c>
      <c r="I1544" s="1">
        <v>94.99</v>
      </c>
      <c r="J1544" s="1">
        <v>94.99</v>
      </c>
      <c r="K1544" t="s">
        <v>6</v>
      </c>
    </row>
    <row r="1545" spans="1:12">
      <c r="A1545" t="s">
        <v>1581</v>
      </c>
      <c r="B1545">
        <v>444704</v>
      </c>
      <c r="C1545" s="2" t="str">
        <f>"1236-70-1"</f>
        <v>1236-70-1</v>
      </c>
      <c r="D1545" t="s">
        <v>1582</v>
      </c>
      <c r="E1545" t="s">
        <v>4</v>
      </c>
      <c r="F1545">
        <v>0.78</v>
      </c>
      <c r="G1545">
        <v>0.13</v>
      </c>
      <c r="H1545" t="s">
        <v>20</v>
      </c>
      <c r="I1545" s="1">
        <v>5.93</v>
      </c>
      <c r="J1545" s="1">
        <v>5.4</v>
      </c>
      <c r="K1545" t="s">
        <v>21</v>
      </c>
      <c r="L1545" s="1">
        <v>5.93</v>
      </c>
    </row>
    <row r="1546" spans="1:12">
      <c r="A1546" t="s">
        <v>1581</v>
      </c>
      <c r="B1546">
        <v>437204</v>
      </c>
      <c r="C1546" s="2" t="str">
        <f>"1246-01"</f>
        <v>1246-01</v>
      </c>
      <c r="D1546" t="s">
        <v>1583</v>
      </c>
      <c r="E1546" t="s">
        <v>4</v>
      </c>
      <c r="F1546">
        <v>0.78</v>
      </c>
      <c r="G1546">
        <v>0.13</v>
      </c>
      <c r="H1546" t="s">
        <v>20</v>
      </c>
      <c r="I1546" s="1">
        <v>6.08</v>
      </c>
      <c r="J1546" s="1">
        <v>5.53</v>
      </c>
      <c r="K1546" t="s">
        <v>457</v>
      </c>
      <c r="L1546" s="1">
        <v>6.08</v>
      </c>
    </row>
    <row r="1547" spans="1:12">
      <c r="A1547" t="s">
        <v>1581</v>
      </c>
      <c r="B1547">
        <v>437208</v>
      </c>
      <c r="C1547" s="2" t="str">
        <f>"1246-02-1"</f>
        <v>1246-02-1</v>
      </c>
      <c r="D1547" t="s">
        <v>1584</v>
      </c>
      <c r="E1547" t="s">
        <v>4</v>
      </c>
      <c r="F1547">
        <v>0.78</v>
      </c>
      <c r="G1547">
        <v>0.13</v>
      </c>
      <c r="H1547" t="s">
        <v>20</v>
      </c>
      <c r="I1547" s="1">
        <v>6.08</v>
      </c>
      <c r="J1547" s="1">
        <v>5.53</v>
      </c>
      <c r="K1547" t="s">
        <v>457</v>
      </c>
      <c r="L1547" s="1">
        <v>6.08</v>
      </c>
    </row>
    <row r="1548" spans="1:12">
      <c r="A1548" t="s">
        <v>1581</v>
      </c>
      <c r="B1548">
        <v>437209</v>
      </c>
      <c r="C1548" s="2" t="str">
        <f>"1246-03-1"</f>
        <v>1246-03-1</v>
      </c>
      <c r="D1548" t="s">
        <v>1585</v>
      </c>
      <c r="E1548" t="s">
        <v>4</v>
      </c>
      <c r="F1548">
        <v>1.02</v>
      </c>
      <c r="G1548">
        <v>0.17</v>
      </c>
      <c r="H1548" t="s">
        <v>20</v>
      </c>
      <c r="I1548" s="1">
        <v>6.44</v>
      </c>
      <c r="J1548" s="1">
        <v>5.85</v>
      </c>
      <c r="K1548" t="s">
        <v>457</v>
      </c>
      <c r="L1548" s="1">
        <v>6.44</v>
      </c>
    </row>
    <row r="1549" spans="1:12">
      <c r="A1549" t="s">
        <v>1581</v>
      </c>
      <c r="B1549">
        <v>437210</v>
      </c>
      <c r="C1549" s="2" t="str">
        <f>"24HP-01-1"</f>
        <v>24HP-01-1</v>
      </c>
      <c r="D1549" t="s">
        <v>1586</v>
      </c>
      <c r="E1549" t="s">
        <v>4</v>
      </c>
      <c r="F1549">
        <v>1.1399999999999999</v>
      </c>
      <c r="G1549">
        <v>0.19</v>
      </c>
      <c r="H1549" t="s">
        <v>20</v>
      </c>
      <c r="I1549" s="1">
        <v>5.08</v>
      </c>
      <c r="J1549" s="1">
        <v>4.62</v>
      </c>
      <c r="K1549" t="s">
        <v>457</v>
      </c>
      <c r="L1549" s="1">
        <v>5.08</v>
      </c>
    </row>
    <row r="1550" spans="1:12">
      <c r="A1550" t="s">
        <v>1581</v>
      </c>
      <c r="B1550">
        <v>557869</v>
      </c>
      <c r="C1550" s="2" t="str">
        <f>"2560"</f>
        <v>2560</v>
      </c>
      <c r="D1550" t="s">
        <v>1587</v>
      </c>
      <c r="E1550" t="s">
        <v>4</v>
      </c>
      <c r="F1550">
        <v>0.09</v>
      </c>
      <c r="H1550" t="s">
        <v>5</v>
      </c>
      <c r="I1550" s="1">
        <v>15.73</v>
      </c>
      <c r="J1550" s="1">
        <v>14.3</v>
      </c>
      <c r="K1550" t="s">
        <v>6</v>
      </c>
    </row>
    <row r="1551" spans="1:12">
      <c r="A1551" t="s">
        <v>1581</v>
      </c>
      <c r="B1551">
        <v>437211</v>
      </c>
      <c r="C1551" s="2" t="str">
        <f>"25HP-01-1"</f>
        <v>25HP-01-1</v>
      </c>
      <c r="D1551" t="s">
        <v>1588</v>
      </c>
      <c r="E1551" t="s">
        <v>4</v>
      </c>
      <c r="F1551">
        <v>1.08</v>
      </c>
      <c r="G1551">
        <v>0.18</v>
      </c>
      <c r="H1551" t="s">
        <v>20</v>
      </c>
      <c r="I1551" s="1">
        <v>5.08</v>
      </c>
      <c r="J1551" s="1">
        <v>4.62</v>
      </c>
      <c r="K1551" t="s">
        <v>457</v>
      </c>
      <c r="L1551" s="1">
        <v>5.08</v>
      </c>
    </row>
    <row r="1552" spans="1:12">
      <c r="A1552" t="s">
        <v>1581</v>
      </c>
      <c r="B1552">
        <v>459686</v>
      </c>
      <c r="C1552" s="2" t="str">
        <f>"26HP-01-1"</f>
        <v>26HP-01-1</v>
      </c>
      <c r="D1552" t="s">
        <v>1589</v>
      </c>
      <c r="E1552" t="s">
        <v>4</v>
      </c>
      <c r="F1552">
        <v>1.1399999999999999</v>
      </c>
      <c r="G1552">
        <v>0.19</v>
      </c>
      <c r="H1552" t="s">
        <v>20</v>
      </c>
      <c r="I1552" s="1">
        <v>5.08</v>
      </c>
      <c r="J1552" s="1">
        <v>4.62</v>
      </c>
      <c r="K1552" t="s">
        <v>457</v>
      </c>
      <c r="L1552" s="1">
        <v>5.08</v>
      </c>
    </row>
    <row r="1553" spans="1:12">
      <c r="A1553" t="s">
        <v>1581</v>
      </c>
      <c r="B1553">
        <v>479005</v>
      </c>
      <c r="C1553" s="2" t="str">
        <f>"3210-08-1-E"</f>
        <v>3210-08-1-E</v>
      </c>
      <c r="D1553" t="s">
        <v>1590</v>
      </c>
      <c r="E1553" t="s">
        <v>4</v>
      </c>
      <c r="F1553">
        <v>1.1399999999999999</v>
      </c>
      <c r="G1553">
        <v>0.19</v>
      </c>
      <c r="H1553" t="s">
        <v>20</v>
      </c>
      <c r="I1553" s="1">
        <v>14.16</v>
      </c>
      <c r="J1553" s="1">
        <v>12.87</v>
      </c>
      <c r="K1553" t="s">
        <v>457</v>
      </c>
      <c r="L1553" s="1">
        <v>14.16</v>
      </c>
    </row>
    <row r="1554" spans="1:12">
      <c r="A1554" t="s">
        <v>1581</v>
      </c>
      <c r="B1554">
        <v>437214</v>
      </c>
      <c r="C1554" s="2" t="str">
        <f>"322-01-1"</f>
        <v>322-01-1</v>
      </c>
      <c r="D1554" t="s">
        <v>1591</v>
      </c>
      <c r="E1554" t="s">
        <v>4</v>
      </c>
      <c r="F1554">
        <v>1.5</v>
      </c>
      <c r="G1554">
        <v>0.25</v>
      </c>
      <c r="H1554" t="s">
        <v>20</v>
      </c>
      <c r="I1554" s="1">
        <v>9.01</v>
      </c>
      <c r="J1554" s="1">
        <v>8.19</v>
      </c>
      <c r="K1554" t="s">
        <v>457</v>
      </c>
      <c r="L1554" s="1">
        <v>9.01</v>
      </c>
    </row>
    <row r="1555" spans="1:12">
      <c r="A1555" t="s">
        <v>1581</v>
      </c>
      <c r="B1555">
        <v>437213</v>
      </c>
      <c r="C1555" s="2" t="str">
        <f>"323-0"</f>
        <v>323-0</v>
      </c>
      <c r="D1555" t="s">
        <v>1592</v>
      </c>
      <c r="E1555" t="s">
        <v>4</v>
      </c>
      <c r="F1555">
        <v>1.5</v>
      </c>
      <c r="G1555">
        <v>0.25</v>
      </c>
      <c r="H1555" t="s">
        <v>20</v>
      </c>
      <c r="I1555" s="1">
        <v>9.01</v>
      </c>
      <c r="J1555" s="1">
        <v>8.19</v>
      </c>
      <c r="K1555" t="s">
        <v>457</v>
      </c>
      <c r="L1555" s="1">
        <v>9.01</v>
      </c>
    </row>
    <row r="1556" spans="1:12">
      <c r="A1556" t="s">
        <v>1581</v>
      </c>
      <c r="B1556">
        <v>438376</v>
      </c>
      <c r="C1556" s="2" t="str">
        <f>"3270-05-5"</f>
        <v>3270-05-5</v>
      </c>
      <c r="D1556" t="s">
        <v>1593</v>
      </c>
      <c r="E1556" t="s">
        <v>4</v>
      </c>
      <c r="F1556">
        <v>2.75</v>
      </c>
      <c r="H1556" t="s">
        <v>5</v>
      </c>
      <c r="I1556" s="1">
        <v>22.74</v>
      </c>
      <c r="J1556" s="1">
        <v>20.67</v>
      </c>
      <c r="K1556" t="s">
        <v>6</v>
      </c>
    </row>
    <row r="1557" spans="1:12">
      <c r="A1557" t="s">
        <v>1581</v>
      </c>
      <c r="B1557">
        <v>437215</v>
      </c>
      <c r="C1557" s="2" t="str">
        <f>"330-0-1"</f>
        <v>330-0-1</v>
      </c>
      <c r="D1557" t="s">
        <v>1594</v>
      </c>
      <c r="E1557" t="s">
        <v>4</v>
      </c>
      <c r="F1557">
        <v>0.18</v>
      </c>
      <c r="G1557">
        <v>0.03</v>
      </c>
      <c r="H1557" t="s">
        <v>20</v>
      </c>
      <c r="I1557" s="1">
        <v>2.5</v>
      </c>
      <c r="J1557" s="1">
        <v>2.2799999999999998</v>
      </c>
      <c r="K1557" t="s">
        <v>457</v>
      </c>
      <c r="L1557" s="1">
        <v>2.5</v>
      </c>
    </row>
    <row r="1558" spans="1:12">
      <c r="A1558" t="s">
        <v>1581</v>
      </c>
      <c r="B1558">
        <v>437212</v>
      </c>
      <c r="C1558" s="2" t="str">
        <f>"335-01-1"</f>
        <v>335-01-1</v>
      </c>
      <c r="D1558" t="s">
        <v>1595</v>
      </c>
      <c r="E1558" t="s">
        <v>4</v>
      </c>
      <c r="F1558">
        <v>0.78</v>
      </c>
      <c r="G1558">
        <v>0.13</v>
      </c>
      <c r="H1558" t="s">
        <v>20</v>
      </c>
      <c r="I1558" s="1">
        <v>4.58</v>
      </c>
      <c r="J1558" s="1">
        <v>4.16</v>
      </c>
      <c r="K1558" t="s">
        <v>457</v>
      </c>
      <c r="L1558" s="1">
        <v>4.58</v>
      </c>
    </row>
    <row r="1559" spans="1:12">
      <c r="A1559" t="s">
        <v>1581</v>
      </c>
      <c r="B1559">
        <v>489271</v>
      </c>
      <c r="C1559" s="2" t="str">
        <f>"462-0-8"</f>
        <v>462-0-8</v>
      </c>
      <c r="D1559" t="s">
        <v>1596</v>
      </c>
      <c r="E1559" t="s">
        <v>4</v>
      </c>
      <c r="F1559">
        <v>3</v>
      </c>
      <c r="G1559">
        <v>0.5</v>
      </c>
      <c r="H1559" t="s">
        <v>20</v>
      </c>
      <c r="I1559" s="1">
        <v>122.27</v>
      </c>
      <c r="J1559" s="1">
        <v>111.15</v>
      </c>
      <c r="K1559" t="s">
        <v>457</v>
      </c>
      <c r="L1559" s="1">
        <v>122.27</v>
      </c>
    </row>
    <row r="1560" spans="1:12">
      <c r="A1560" t="s">
        <v>1581</v>
      </c>
      <c r="B1560">
        <v>437217</v>
      </c>
      <c r="C1560" s="2" t="str">
        <f>"470-0-8"</f>
        <v>470-0-8</v>
      </c>
      <c r="D1560" t="s">
        <v>1597</v>
      </c>
      <c r="E1560" t="s">
        <v>4</v>
      </c>
      <c r="F1560">
        <v>0.19</v>
      </c>
      <c r="H1560" t="s">
        <v>5</v>
      </c>
      <c r="I1560" s="1">
        <v>45.83</v>
      </c>
      <c r="J1560" s="1">
        <v>41.67</v>
      </c>
      <c r="K1560" t="s">
        <v>6</v>
      </c>
    </row>
    <row r="1561" spans="1:12">
      <c r="A1561" t="s">
        <v>1581</v>
      </c>
      <c r="B1561">
        <v>437218</v>
      </c>
      <c r="C1561" s="2" t="str">
        <f>"480-0-8"</f>
        <v>480-0-8</v>
      </c>
      <c r="D1561" t="s">
        <v>1598</v>
      </c>
      <c r="E1561" t="s">
        <v>4</v>
      </c>
      <c r="F1561">
        <v>0.31</v>
      </c>
      <c r="H1561" t="s">
        <v>5</v>
      </c>
      <c r="I1561" s="1">
        <v>82.94</v>
      </c>
      <c r="J1561" s="1">
        <v>75.400000000000006</v>
      </c>
      <c r="K1561" t="s">
        <v>6</v>
      </c>
    </row>
    <row r="1562" spans="1:12">
      <c r="A1562" t="s">
        <v>1581</v>
      </c>
      <c r="B1562">
        <v>494506</v>
      </c>
      <c r="C1562" s="2" t="str">
        <f>"535-0-8"</f>
        <v>535-0-8</v>
      </c>
      <c r="D1562" t="s">
        <v>1599</v>
      </c>
      <c r="E1562" t="s">
        <v>4</v>
      </c>
      <c r="F1562">
        <v>0.36</v>
      </c>
      <c r="G1562">
        <v>0.06</v>
      </c>
      <c r="H1562" t="s">
        <v>20</v>
      </c>
      <c r="I1562" s="1">
        <v>3</v>
      </c>
      <c r="J1562" s="1">
        <v>2.73</v>
      </c>
      <c r="K1562" t="s">
        <v>457</v>
      </c>
      <c r="L1562" s="1">
        <v>3</v>
      </c>
    </row>
    <row r="1563" spans="1:12">
      <c r="A1563" t="s">
        <v>1581</v>
      </c>
      <c r="B1563">
        <v>438377</v>
      </c>
      <c r="C1563" s="2" t="str">
        <f>"9150-0-8"</f>
        <v>9150-0-8</v>
      </c>
      <c r="D1563" t="s">
        <v>1600</v>
      </c>
      <c r="E1563" t="s">
        <v>4</v>
      </c>
      <c r="F1563">
        <v>5.5</v>
      </c>
      <c r="H1563" t="s">
        <v>5</v>
      </c>
      <c r="I1563" s="1">
        <v>94.95</v>
      </c>
      <c r="J1563" s="1">
        <v>86.32</v>
      </c>
      <c r="K1563" t="s">
        <v>6</v>
      </c>
    </row>
    <row r="1564" spans="1:12">
      <c r="A1564" t="s">
        <v>1581</v>
      </c>
      <c r="B1564">
        <v>437224</v>
      </c>
      <c r="C1564" s="2" t="str">
        <f>"93230-K"</f>
        <v>93230-K</v>
      </c>
      <c r="D1564" t="s">
        <v>1601</v>
      </c>
      <c r="E1564" t="s">
        <v>4</v>
      </c>
      <c r="F1564">
        <v>1</v>
      </c>
      <c r="H1564" t="s">
        <v>5</v>
      </c>
      <c r="I1564" s="1">
        <v>166.52</v>
      </c>
      <c r="J1564" s="1">
        <v>151.38999999999999</v>
      </c>
      <c r="K1564" t="s">
        <v>6</v>
      </c>
    </row>
    <row r="1565" spans="1:12">
      <c r="A1565" t="s">
        <v>1581</v>
      </c>
      <c r="B1565">
        <v>437289</v>
      </c>
      <c r="C1565" s="2" t="str">
        <f>"DFP450W-0-8"</f>
        <v>DFP450W-0-8</v>
      </c>
      <c r="D1565" t="s">
        <v>1602</v>
      </c>
      <c r="E1565" t="s">
        <v>4</v>
      </c>
      <c r="F1565">
        <v>0.96</v>
      </c>
      <c r="G1565">
        <v>0.16</v>
      </c>
      <c r="H1565" t="s">
        <v>20</v>
      </c>
      <c r="I1565" s="1">
        <v>25.81</v>
      </c>
      <c r="J1565" s="1">
        <v>23.47</v>
      </c>
      <c r="K1565" t="s">
        <v>457</v>
      </c>
      <c r="L1565" s="1">
        <v>25.81</v>
      </c>
    </row>
    <row r="1566" spans="1:12">
      <c r="A1566" t="s">
        <v>1581</v>
      </c>
      <c r="B1566">
        <v>437225</v>
      </c>
      <c r="C1566" s="2" t="str">
        <f>"DPP400W-0-8"</f>
        <v>DPP400W-0-8</v>
      </c>
      <c r="D1566" t="s">
        <v>1603</v>
      </c>
      <c r="E1566" t="s">
        <v>4</v>
      </c>
      <c r="F1566">
        <v>0.78</v>
      </c>
      <c r="G1566">
        <v>0.13</v>
      </c>
      <c r="H1566" t="s">
        <v>20</v>
      </c>
      <c r="I1566" s="1">
        <v>19.66</v>
      </c>
      <c r="J1566" s="1">
        <v>17.88</v>
      </c>
      <c r="K1566" t="s">
        <v>457</v>
      </c>
      <c r="L1566" s="1">
        <v>19.66</v>
      </c>
    </row>
    <row r="1567" spans="1:12">
      <c r="A1567" t="s">
        <v>1581</v>
      </c>
      <c r="B1567">
        <v>566055</v>
      </c>
      <c r="C1567" s="2" t="str">
        <f>"DPP800W"</f>
        <v>DPP800W</v>
      </c>
      <c r="D1567" t="s">
        <v>1604</v>
      </c>
      <c r="E1567" t="s">
        <v>4</v>
      </c>
      <c r="F1567">
        <v>1.5</v>
      </c>
      <c r="G1567">
        <v>0.25</v>
      </c>
      <c r="H1567" t="s">
        <v>20</v>
      </c>
      <c r="I1567" s="1">
        <v>25.81</v>
      </c>
      <c r="J1567" s="1">
        <v>23.47</v>
      </c>
      <c r="K1567" t="s">
        <v>21</v>
      </c>
      <c r="L1567" s="1">
        <v>25.81</v>
      </c>
    </row>
    <row r="1568" spans="1:12">
      <c r="A1568" t="s">
        <v>1581</v>
      </c>
      <c r="B1568">
        <v>437226</v>
      </c>
      <c r="C1568" s="2" t="str">
        <f>"DT300-0-8"</f>
        <v>DT300-0-8</v>
      </c>
      <c r="D1568" t="s">
        <v>1605</v>
      </c>
      <c r="E1568" t="s">
        <v>4</v>
      </c>
      <c r="F1568">
        <v>0.54</v>
      </c>
      <c r="G1568">
        <v>0.09</v>
      </c>
      <c r="H1568" t="s">
        <v>20</v>
      </c>
      <c r="I1568" s="1">
        <v>14.59</v>
      </c>
      <c r="J1568" s="1">
        <v>13.26</v>
      </c>
      <c r="K1568" t="s">
        <v>457</v>
      </c>
      <c r="L1568" s="1">
        <v>14.59</v>
      </c>
    </row>
    <row r="1569" spans="1:12">
      <c r="A1569" t="s">
        <v>1581</v>
      </c>
      <c r="B1569">
        <v>437221</v>
      </c>
      <c r="C1569" s="2" t="str">
        <f>"FT24-0-3"</f>
        <v>FT24-0-3</v>
      </c>
      <c r="D1569" t="s">
        <v>1606</v>
      </c>
      <c r="E1569" t="s">
        <v>4</v>
      </c>
      <c r="F1569">
        <v>1.55</v>
      </c>
      <c r="H1569" t="s">
        <v>5</v>
      </c>
      <c r="I1569" s="1">
        <v>44.76</v>
      </c>
      <c r="J1569" s="1">
        <v>40.69</v>
      </c>
      <c r="K1569" t="s">
        <v>6</v>
      </c>
    </row>
    <row r="1570" spans="1:12">
      <c r="A1570" t="s">
        <v>1581</v>
      </c>
      <c r="B1570">
        <v>437223</v>
      </c>
      <c r="C1570" s="2" t="str">
        <f>"TC6-0-8"</f>
        <v>TC6-0-8</v>
      </c>
      <c r="D1570" t="s">
        <v>1607</v>
      </c>
      <c r="E1570" t="s">
        <v>4</v>
      </c>
      <c r="F1570">
        <v>1.1399999999999999</v>
      </c>
      <c r="G1570">
        <v>0.19</v>
      </c>
      <c r="H1570" t="s">
        <v>20</v>
      </c>
      <c r="I1570" s="1">
        <v>17.73</v>
      </c>
      <c r="J1570" s="1">
        <v>16.12</v>
      </c>
      <c r="K1570" t="s">
        <v>457</v>
      </c>
      <c r="L1570" s="1">
        <v>17.73</v>
      </c>
    </row>
    <row r="1571" spans="1:12">
      <c r="A1571" t="s">
        <v>1581</v>
      </c>
      <c r="B1571">
        <v>445582</v>
      </c>
      <c r="C1571" s="2" t="str">
        <f>"TFS4-0-8"</f>
        <v>TFS4-0-8</v>
      </c>
      <c r="D1571" t="s">
        <v>1608</v>
      </c>
      <c r="E1571" t="s">
        <v>4</v>
      </c>
      <c r="F1571">
        <v>0.78</v>
      </c>
      <c r="G1571">
        <v>0.13</v>
      </c>
      <c r="H1571" t="s">
        <v>20</v>
      </c>
      <c r="I1571" s="1">
        <v>49.12</v>
      </c>
      <c r="J1571" s="1">
        <v>44.66</v>
      </c>
      <c r="K1571" t="s">
        <v>457</v>
      </c>
      <c r="L1571" s="1">
        <v>49.12</v>
      </c>
    </row>
    <row r="1572" spans="1:12">
      <c r="A1572" t="s">
        <v>1581</v>
      </c>
      <c r="B1572">
        <v>437219</v>
      </c>
      <c r="C1572" s="2" t="str">
        <f>"TM60-0-8"</f>
        <v>TM60-0-8</v>
      </c>
      <c r="D1572" t="s">
        <v>1609</v>
      </c>
      <c r="E1572" t="s">
        <v>4</v>
      </c>
      <c r="F1572">
        <v>2.04</v>
      </c>
      <c r="G1572">
        <v>0.34</v>
      </c>
      <c r="H1572" t="s">
        <v>20</v>
      </c>
      <c r="I1572" s="1">
        <v>11.73</v>
      </c>
      <c r="J1572" s="1">
        <v>10.66</v>
      </c>
      <c r="K1572" t="s">
        <v>457</v>
      </c>
      <c r="L1572" s="1">
        <v>11.73</v>
      </c>
    </row>
    <row r="1573" spans="1:12">
      <c r="A1573" t="s">
        <v>1610</v>
      </c>
      <c r="B1573">
        <v>506716</v>
      </c>
      <c r="C1573" s="2" t="str">
        <f>"52-0004"</f>
        <v>52-0004</v>
      </c>
      <c r="D1573" t="s">
        <v>1611</v>
      </c>
      <c r="E1573" t="s">
        <v>4</v>
      </c>
      <c r="F1573">
        <v>19.25</v>
      </c>
      <c r="H1573" t="s">
        <v>5</v>
      </c>
      <c r="I1573" s="1">
        <v>89.81</v>
      </c>
      <c r="J1573" s="1">
        <v>88.92</v>
      </c>
      <c r="K1573" t="s">
        <v>6</v>
      </c>
    </row>
    <row r="1574" spans="1:12">
      <c r="A1574" t="s">
        <v>1610</v>
      </c>
      <c r="B1574">
        <v>469922</v>
      </c>
      <c r="C1574" s="2" t="str">
        <f>"52-0083"</f>
        <v>52-0083</v>
      </c>
      <c r="D1574" t="s">
        <v>1612</v>
      </c>
      <c r="E1574" t="s">
        <v>4</v>
      </c>
      <c r="F1574">
        <v>16.98</v>
      </c>
      <c r="H1574" t="s">
        <v>5</v>
      </c>
      <c r="I1574" s="1">
        <v>78.25</v>
      </c>
      <c r="J1574" s="1">
        <v>77.48</v>
      </c>
      <c r="K1574" t="s">
        <v>6</v>
      </c>
    </row>
    <row r="1575" spans="1:12">
      <c r="A1575" t="s">
        <v>1610</v>
      </c>
      <c r="B1575">
        <v>468852</v>
      </c>
      <c r="C1575" s="2" t="str">
        <f>"52-0092"</f>
        <v>52-0092</v>
      </c>
      <c r="D1575" t="s">
        <v>1613</v>
      </c>
      <c r="E1575" t="s">
        <v>4</v>
      </c>
      <c r="F1575">
        <v>16.440000000000001</v>
      </c>
      <c r="H1575" t="s">
        <v>5</v>
      </c>
      <c r="I1575" s="1">
        <v>78.25</v>
      </c>
      <c r="J1575" s="1">
        <v>77.48</v>
      </c>
      <c r="K1575" t="s">
        <v>6</v>
      </c>
    </row>
    <row r="1576" spans="1:12">
      <c r="A1576" t="s">
        <v>1610</v>
      </c>
      <c r="B1576">
        <v>468895</v>
      </c>
      <c r="C1576" s="2" t="str">
        <f>"52-0743"</f>
        <v>52-0743</v>
      </c>
      <c r="D1576" t="s">
        <v>1614</v>
      </c>
      <c r="E1576" t="s">
        <v>4</v>
      </c>
      <c r="F1576">
        <v>13.63</v>
      </c>
      <c r="H1576" t="s">
        <v>5</v>
      </c>
      <c r="I1576" s="1">
        <v>85.35</v>
      </c>
      <c r="J1576" s="1">
        <v>84.5</v>
      </c>
      <c r="K1576" t="s">
        <v>6</v>
      </c>
    </row>
    <row r="1577" spans="1:12">
      <c r="A1577" t="s">
        <v>1610</v>
      </c>
      <c r="B1577">
        <v>506715</v>
      </c>
      <c r="C1577" s="2" t="str">
        <f>"52-0775"</f>
        <v>52-0775</v>
      </c>
      <c r="D1577" t="s">
        <v>1615</v>
      </c>
      <c r="E1577" t="s">
        <v>4</v>
      </c>
      <c r="F1577">
        <v>9.1300000000000008</v>
      </c>
      <c r="H1577" t="s">
        <v>5</v>
      </c>
      <c r="I1577" s="1">
        <v>43.33</v>
      </c>
      <c r="J1577" s="1">
        <v>42.9</v>
      </c>
      <c r="K1577" t="s">
        <v>6</v>
      </c>
    </row>
    <row r="1578" spans="1:12">
      <c r="A1578" t="s">
        <v>1610</v>
      </c>
      <c r="B1578">
        <v>553473</v>
      </c>
      <c r="C1578" s="2" t="str">
        <f>"5280190001"</f>
        <v>5280190001</v>
      </c>
      <c r="D1578" t="s">
        <v>1616</v>
      </c>
      <c r="E1578" t="s">
        <v>4</v>
      </c>
      <c r="F1578">
        <v>11.75</v>
      </c>
      <c r="H1578" t="s">
        <v>5</v>
      </c>
      <c r="I1578" s="1">
        <v>50.55</v>
      </c>
      <c r="J1578" s="1">
        <v>50.05</v>
      </c>
      <c r="K1578" t="s">
        <v>6</v>
      </c>
    </row>
    <row r="1579" spans="1:12">
      <c r="A1579" t="s">
        <v>1610</v>
      </c>
      <c r="B1579">
        <v>468903</v>
      </c>
      <c r="C1579" s="2" t="str">
        <f>"528902"</f>
        <v>528902</v>
      </c>
      <c r="D1579" t="s">
        <v>1617</v>
      </c>
      <c r="E1579" t="s">
        <v>4</v>
      </c>
      <c r="F1579">
        <v>33.630000000000003</v>
      </c>
      <c r="H1579" t="s">
        <v>5</v>
      </c>
      <c r="I1579" s="1">
        <v>105.04</v>
      </c>
      <c r="J1579" s="1">
        <v>104</v>
      </c>
      <c r="K1579" t="s">
        <v>6</v>
      </c>
    </row>
    <row r="1580" spans="1:12">
      <c r="A1580" t="s">
        <v>1610</v>
      </c>
      <c r="B1580">
        <v>470436</v>
      </c>
      <c r="C1580" s="2" t="str">
        <f>"52-8908"</f>
        <v>52-8908</v>
      </c>
      <c r="D1580" t="s">
        <v>1618</v>
      </c>
      <c r="E1580" t="s">
        <v>4</v>
      </c>
      <c r="F1580">
        <v>31.5</v>
      </c>
      <c r="H1580" t="s">
        <v>5</v>
      </c>
      <c r="I1580" s="1">
        <v>112.26</v>
      </c>
      <c r="J1580" s="1">
        <v>111.15</v>
      </c>
      <c r="K1580" t="s">
        <v>6</v>
      </c>
    </row>
    <row r="1581" spans="1:12">
      <c r="A1581" t="s">
        <v>1619</v>
      </c>
      <c r="B1581">
        <v>538587</v>
      </c>
      <c r="C1581" s="2" t="str">
        <f>"2A12NSPBLK5"</f>
        <v>2A12NSPBLK5</v>
      </c>
      <c r="D1581" t="s">
        <v>1620</v>
      </c>
      <c r="E1581" t="s">
        <v>4</v>
      </c>
      <c r="F1581">
        <v>14.87</v>
      </c>
      <c r="H1581" t="s">
        <v>5</v>
      </c>
      <c r="I1581" s="1">
        <v>36.51</v>
      </c>
      <c r="J1581" s="1">
        <v>36.159999999999997</v>
      </c>
      <c r="K1581" t="s">
        <v>6</v>
      </c>
    </row>
    <row r="1582" spans="1:12">
      <c r="A1582" t="s">
        <v>1619</v>
      </c>
      <c r="B1582">
        <v>536798</v>
      </c>
      <c r="C1582" s="2" t="str">
        <f>"2ANBLK5-H"</f>
        <v>2ANBLK5-H</v>
      </c>
      <c r="D1582" t="s">
        <v>1621</v>
      </c>
      <c r="E1582" t="s">
        <v>4</v>
      </c>
      <c r="F1582">
        <v>17.68</v>
      </c>
      <c r="H1582" t="s">
        <v>5</v>
      </c>
      <c r="I1582" s="1">
        <v>45.2</v>
      </c>
      <c r="J1582" s="1">
        <v>44.77</v>
      </c>
      <c r="K1582" t="s">
        <v>6</v>
      </c>
    </row>
    <row r="1583" spans="1:12">
      <c r="A1583" t="s">
        <v>1619</v>
      </c>
      <c r="B1583">
        <v>536810</v>
      </c>
      <c r="C1583" s="2" t="str">
        <f>"2ANSPBLK5"</f>
        <v>2ANSPBLK5</v>
      </c>
      <c r="D1583" t="s">
        <v>1622</v>
      </c>
      <c r="E1583" t="s">
        <v>4</v>
      </c>
      <c r="F1583">
        <v>16.100000000000001</v>
      </c>
      <c r="H1583" t="s">
        <v>5</v>
      </c>
      <c r="I1583" s="1">
        <v>43.22</v>
      </c>
      <c r="J1583" s="1">
        <v>42.8</v>
      </c>
      <c r="K1583" t="s">
        <v>6</v>
      </c>
    </row>
    <row r="1584" spans="1:12">
      <c r="A1584" t="s">
        <v>1619</v>
      </c>
      <c r="B1584">
        <v>536820</v>
      </c>
      <c r="C1584" s="2" t="str">
        <f>"2E10NSPW"</f>
        <v>2E10NSPW</v>
      </c>
      <c r="D1584" t="s">
        <v>1623</v>
      </c>
      <c r="E1584" t="s">
        <v>4</v>
      </c>
      <c r="F1584">
        <v>5.76</v>
      </c>
      <c r="H1584" t="s">
        <v>5</v>
      </c>
      <c r="I1584" s="1">
        <v>17.05</v>
      </c>
      <c r="J1584" s="1">
        <v>16.88</v>
      </c>
      <c r="K1584" t="s">
        <v>6</v>
      </c>
    </row>
    <row r="1585" spans="1:11">
      <c r="A1585" t="s">
        <v>1619</v>
      </c>
      <c r="B1585">
        <v>536828</v>
      </c>
      <c r="C1585" s="2" t="str">
        <f>"2ENSPW-5"</f>
        <v>2ENSPW-5</v>
      </c>
      <c r="D1585" t="s">
        <v>1624</v>
      </c>
      <c r="E1585" t="s">
        <v>4</v>
      </c>
      <c r="F1585">
        <v>13.5</v>
      </c>
      <c r="H1585" t="s">
        <v>5</v>
      </c>
      <c r="I1585" s="1">
        <v>33.770000000000003</v>
      </c>
      <c r="J1585" s="1">
        <v>33.44</v>
      </c>
      <c r="K1585" t="s">
        <v>6</v>
      </c>
    </row>
    <row r="1586" spans="1:11">
      <c r="A1586" t="s">
        <v>1619</v>
      </c>
      <c r="B1586">
        <v>536817</v>
      </c>
      <c r="C1586" s="2" t="str">
        <f>"3ANSPW"</f>
        <v>3ANSPW</v>
      </c>
      <c r="D1586" t="s">
        <v>1625</v>
      </c>
      <c r="E1586" t="s">
        <v>4</v>
      </c>
      <c r="F1586">
        <v>11.15</v>
      </c>
      <c r="H1586" t="s">
        <v>5</v>
      </c>
      <c r="I1586" s="1">
        <v>32.18</v>
      </c>
      <c r="J1586" s="1">
        <v>31.86</v>
      </c>
      <c r="K1586" t="s">
        <v>6</v>
      </c>
    </row>
    <row r="1587" spans="1:11">
      <c r="A1587" t="s">
        <v>1619</v>
      </c>
      <c r="B1587">
        <v>537270</v>
      </c>
      <c r="C1587" s="2" t="str">
        <f>"3ENSPBLK"</f>
        <v>3ENSPBLK</v>
      </c>
      <c r="D1587" t="s">
        <v>1626</v>
      </c>
      <c r="E1587" t="s">
        <v>4</v>
      </c>
      <c r="F1587">
        <v>7.91</v>
      </c>
      <c r="H1587" t="s">
        <v>5</v>
      </c>
      <c r="I1587" s="1">
        <v>23.11</v>
      </c>
      <c r="J1587" s="1">
        <v>22.89</v>
      </c>
      <c r="K1587" t="s">
        <v>6</v>
      </c>
    </row>
    <row r="1588" spans="1:11">
      <c r="A1588" t="s">
        <v>1619</v>
      </c>
      <c r="B1588">
        <v>536837</v>
      </c>
      <c r="C1588" s="2" t="str">
        <f>"3ENSPW"</f>
        <v>3ENSPW</v>
      </c>
      <c r="D1588" t="s">
        <v>1627</v>
      </c>
      <c r="E1588" t="s">
        <v>4</v>
      </c>
      <c r="F1588">
        <v>7.9</v>
      </c>
      <c r="H1588" t="s">
        <v>5</v>
      </c>
      <c r="I1588" s="1">
        <v>20.62</v>
      </c>
      <c r="J1588" s="1">
        <v>20.420000000000002</v>
      </c>
      <c r="K1588" t="s">
        <v>6</v>
      </c>
    </row>
    <row r="1589" spans="1:11">
      <c r="A1589" t="s">
        <v>1619</v>
      </c>
      <c r="B1589">
        <v>536839</v>
      </c>
      <c r="C1589" s="2" t="str">
        <f>"3ENW"</f>
        <v>3ENW</v>
      </c>
      <c r="D1589" t="s">
        <v>1628</v>
      </c>
      <c r="E1589" t="s">
        <v>4</v>
      </c>
      <c r="F1589">
        <v>7.39</v>
      </c>
      <c r="H1589" t="s">
        <v>5</v>
      </c>
      <c r="I1589" s="1">
        <v>21.02</v>
      </c>
      <c r="J1589" s="1">
        <v>20.82</v>
      </c>
      <c r="K1589" t="s">
        <v>6</v>
      </c>
    </row>
    <row r="1590" spans="1:11">
      <c r="A1590" t="s">
        <v>1619</v>
      </c>
      <c r="B1590">
        <v>536841</v>
      </c>
      <c r="C1590" s="2" t="str">
        <f>"3EW-5"</f>
        <v>3EW-5</v>
      </c>
      <c r="D1590" t="s">
        <v>1629</v>
      </c>
      <c r="E1590" t="s">
        <v>4</v>
      </c>
      <c r="F1590">
        <v>9.9</v>
      </c>
      <c r="H1590" t="s">
        <v>5</v>
      </c>
      <c r="I1590" s="1">
        <v>34.75</v>
      </c>
      <c r="J1590" s="1">
        <v>34.409999999999997</v>
      </c>
      <c r="K1590" t="s">
        <v>6</v>
      </c>
    </row>
    <row r="1591" spans="1:11">
      <c r="A1591" t="s">
        <v>1619</v>
      </c>
      <c r="B1591">
        <v>536685</v>
      </c>
      <c r="C1591" s="2" t="str">
        <f>"AFBLK"</f>
        <v>AFBLK</v>
      </c>
      <c r="D1591" t="s">
        <v>1630</v>
      </c>
      <c r="E1591" t="s">
        <v>4</v>
      </c>
      <c r="F1591">
        <v>10.95</v>
      </c>
      <c r="H1591" t="s">
        <v>5</v>
      </c>
      <c r="I1591" s="1">
        <v>25.7</v>
      </c>
      <c r="J1591" s="1">
        <v>25.45</v>
      </c>
      <c r="K1591" t="s">
        <v>6</v>
      </c>
    </row>
    <row r="1592" spans="1:11">
      <c r="A1592" t="s">
        <v>1619</v>
      </c>
      <c r="B1592">
        <v>536689</v>
      </c>
      <c r="C1592" s="2" t="str">
        <f>"AFW"</f>
        <v>AFW</v>
      </c>
      <c r="D1592" t="s">
        <v>1631</v>
      </c>
      <c r="E1592" t="s">
        <v>4</v>
      </c>
      <c r="F1592">
        <v>10.95</v>
      </c>
      <c r="H1592" t="s">
        <v>5</v>
      </c>
      <c r="I1592" s="1">
        <v>25.05</v>
      </c>
      <c r="J1592" s="1">
        <v>24.81</v>
      </c>
      <c r="K1592" t="s">
        <v>6</v>
      </c>
    </row>
    <row r="1593" spans="1:11">
      <c r="A1593" t="s">
        <v>1619</v>
      </c>
      <c r="B1593">
        <v>536690</v>
      </c>
      <c r="C1593" s="2" t="str">
        <f>"AKW"</f>
        <v>AKW</v>
      </c>
      <c r="D1593" t="s">
        <v>1632</v>
      </c>
      <c r="E1593" t="s">
        <v>4</v>
      </c>
      <c r="F1593">
        <v>10.75</v>
      </c>
      <c r="H1593" t="s">
        <v>5</v>
      </c>
      <c r="I1593" s="1">
        <v>26.75</v>
      </c>
      <c r="J1593" s="1">
        <v>26.49</v>
      </c>
      <c r="K1593" t="s">
        <v>6</v>
      </c>
    </row>
    <row r="1594" spans="1:11">
      <c r="A1594" t="s">
        <v>1619</v>
      </c>
      <c r="B1594">
        <v>536687</v>
      </c>
      <c r="C1594" s="2" t="str">
        <f>"APBLK"</f>
        <v>APBLK</v>
      </c>
      <c r="D1594" t="s">
        <v>1633</v>
      </c>
      <c r="E1594" t="s">
        <v>4</v>
      </c>
      <c r="F1594">
        <v>9.75</v>
      </c>
      <c r="H1594" t="s">
        <v>5</v>
      </c>
      <c r="I1594" s="1">
        <v>25.79</v>
      </c>
      <c r="J1594" s="1">
        <v>25.54</v>
      </c>
      <c r="K1594" t="s">
        <v>6</v>
      </c>
    </row>
    <row r="1595" spans="1:11">
      <c r="A1595" t="s">
        <v>1619</v>
      </c>
      <c r="B1595">
        <v>536688</v>
      </c>
      <c r="C1595" s="2" t="str">
        <f>"ASBLK"</f>
        <v>ASBLK</v>
      </c>
      <c r="D1595" t="s">
        <v>1634</v>
      </c>
      <c r="E1595" t="s">
        <v>4</v>
      </c>
      <c r="F1595">
        <v>9.4</v>
      </c>
      <c r="H1595" t="s">
        <v>5</v>
      </c>
      <c r="I1595" s="1">
        <v>24.61</v>
      </c>
      <c r="J1595" s="1">
        <v>24.37</v>
      </c>
      <c r="K1595" t="s">
        <v>6</v>
      </c>
    </row>
    <row r="1596" spans="1:11">
      <c r="A1596" t="s">
        <v>1619</v>
      </c>
      <c r="B1596">
        <v>536692</v>
      </c>
      <c r="C1596" s="2" t="str">
        <f>"ASW"</f>
        <v>ASW</v>
      </c>
      <c r="D1596" t="s">
        <v>1635</v>
      </c>
      <c r="E1596" t="s">
        <v>4</v>
      </c>
      <c r="F1596">
        <v>9.4</v>
      </c>
      <c r="H1596" t="s">
        <v>5</v>
      </c>
      <c r="I1596" s="1">
        <v>23.66</v>
      </c>
      <c r="J1596" s="1">
        <v>23.43</v>
      </c>
      <c r="K1596" t="s">
        <v>6</v>
      </c>
    </row>
    <row r="1597" spans="1:11">
      <c r="A1597" t="s">
        <v>1619</v>
      </c>
      <c r="B1597">
        <v>536694</v>
      </c>
      <c r="C1597" s="2" t="str">
        <f>"CBR"</f>
        <v>CBR</v>
      </c>
      <c r="D1597" t="s">
        <v>1636</v>
      </c>
      <c r="E1597" t="s">
        <v>4</v>
      </c>
      <c r="F1597">
        <v>7.25</v>
      </c>
      <c r="H1597" t="s">
        <v>5</v>
      </c>
      <c r="I1597" s="1">
        <v>17.5</v>
      </c>
      <c r="J1597" s="1">
        <v>17.329999999999998</v>
      </c>
      <c r="K1597" t="s">
        <v>6</v>
      </c>
    </row>
    <row r="1598" spans="1:11">
      <c r="A1598" t="s">
        <v>1619</v>
      </c>
      <c r="B1598">
        <v>536696</v>
      </c>
      <c r="C1598" s="2" t="str">
        <f>"CBW"</f>
        <v>CBW</v>
      </c>
      <c r="D1598" t="s">
        <v>1637</v>
      </c>
      <c r="E1598" t="s">
        <v>4</v>
      </c>
      <c r="F1598">
        <v>7.25</v>
      </c>
      <c r="H1598" t="s">
        <v>5</v>
      </c>
      <c r="I1598" s="1">
        <v>19.510000000000002</v>
      </c>
      <c r="J1598" s="1">
        <v>19.32</v>
      </c>
      <c r="K1598" t="s">
        <v>6</v>
      </c>
    </row>
    <row r="1599" spans="1:11">
      <c r="A1599" t="s">
        <v>1619</v>
      </c>
      <c r="B1599">
        <v>536695</v>
      </c>
      <c r="C1599" s="2" t="str">
        <f>"CSR"</f>
        <v>CSR</v>
      </c>
      <c r="D1599" t="s">
        <v>1638</v>
      </c>
      <c r="E1599" t="s">
        <v>4</v>
      </c>
      <c r="F1599">
        <v>3.75</v>
      </c>
      <c r="H1599" t="s">
        <v>5</v>
      </c>
      <c r="I1599" s="1">
        <v>12.01</v>
      </c>
      <c r="J1599" s="1">
        <v>11.89</v>
      </c>
      <c r="K1599" t="s">
        <v>6</v>
      </c>
    </row>
    <row r="1600" spans="1:11">
      <c r="A1600" t="s">
        <v>1619</v>
      </c>
      <c r="B1600">
        <v>536698</v>
      </c>
      <c r="C1600" s="2" t="str">
        <f>"CSW"</f>
        <v>CSW</v>
      </c>
      <c r="D1600" t="s">
        <v>1639</v>
      </c>
      <c r="E1600" t="s">
        <v>4</v>
      </c>
      <c r="F1600">
        <v>3.75</v>
      </c>
      <c r="H1600" t="s">
        <v>5</v>
      </c>
      <c r="I1600" s="1">
        <v>11.93</v>
      </c>
      <c r="J1600" s="1">
        <v>11.81</v>
      </c>
      <c r="K1600" t="s">
        <v>6</v>
      </c>
    </row>
    <row r="1601" spans="1:11">
      <c r="A1601" t="s">
        <v>1619</v>
      </c>
      <c r="B1601">
        <v>536699</v>
      </c>
      <c r="C1601" s="2" t="str">
        <f>"CTW"</f>
        <v>CTW</v>
      </c>
      <c r="D1601" t="s">
        <v>1640</v>
      </c>
      <c r="E1601" t="s">
        <v>4</v>
      </c>
      <c r="F1601">
        <v>6.75</v>
      </c>
      <c r="H1601" t="s">
        <v>5</v>
      </c>
      <c r="I1601" s="1">
        <v>23.06</v>
      </c>
      <c r="J1601" s="1">
        <v>22.83</v>
      </c>
      <c r="K1601" t="s">
        <v>6</v>
      </c>
    </row>
    <row r="1602" spans="1:11">
      <c r="A1602" t="s">
        <v>1619</v>
      </c>
      <c r="B1602">
        <v>536700</v>
      </c>
      <c r="C1602" s="2" t="str">
        <f>"EDBLK"</f>
        <v>EDBLK</v>
      </c>
      <c r="D1602" t="s">
        <v>1641</v>
      </c>
      <c r="E1602" t="s">
        <v>4</v>
      </c>
      <c r="F1602">
        <v>5.53</v>
      </c>
      <c r="H1602" t="s">
        <v>5</v>
      </c>
      <c r="I1602" s="1">
        <v>13.63</v>
      </c>
      <c r="J1602" s="1">
        <v>13.5</v>
      </c>
      <c r="K1602" t="s">
        <v>6</v>
      </c>
    </row>
    <row r="1603" spans="1:11">
      <c r="A1603" t="s">
        <v>1619</v>
      </c>
      <c r="B1603">
        <v>536844</v>
      </c>
      <c r="C1603" s="2" t="str">
        <f>"EDKIT"</f>
        <v>EDKIT</v>
      </c>
      <c r="D1603" t="s">
        <v>1642</v>
      </c>
      <c r="E1603" t="s">
        <v>4</v>
      </c>
      <c r="F1603">
        <v>9.9</v>
      </c>
      <c r="H1603" t="s">
        <v>5</v>
      </c>
      <c r="I1603" s="1">
        <v>26.2</v>
      </c>
      <c r="J1603" s="1">
        <v>25.95</v>
      </c>
      <c r="K1603" t="s">
        <v>6</v>
      </c>
    </row>
    <row r="1604" spans="1:11">
      <c r="A1604" t="s">
        <v>1619</v>
      </c>
      <c r="B1604">
        <v>536707</v>
      </c>
      <c r="C1604" s="2" t="str">
        <f>"EDW"</f>
        <v>EDW</v>
      </c>
      <c r="D1604" t="s">
        <v>1643</v>
      </c>
      <c r="E1604" t="s">
        <v>4</v>
      </c>
      <c r="F1604">
        <v>5.53</v>
      </c>
      <c r="H1604" t="s">
        <v>5</v>
      </c>
      <c r="I1604" s="1">
        <v>13.32</v>
      </c>
      <c r="J1604" s="1">
        <v>13.19</v>
      </c>
      <c r="K1604" t="s">
        <v>6</v>
      </c>
    </row>
    <row r="1605" spans="1:11">
      <c r="A1605" t="s">
        <v>1619</v>
      </c>
      <c r="B1605">
        <v>539353</v>
      </c>
      <c r="C1605" s="2" t="str">
        <f>"EDW-2M"</f>
        <v>EDW-2M</v>
      </c>
      <c r="D1605" t="s">
        <v>1644</v>
      </c>
      <c r="E1605" t="s">
        <v>4</v>
      </c>
      <c r="F1605">
        <v>11.23</v>
      </c>
      <c r="H1605" t="s">
        <v>5</v>
      </c>
      <c r="I1605" s="1">
        <v>27.52</v>
      </c>
      <c r="J1605" s="1">
        <v>27.25</v>
      </c>
      <c r="K1605" t="s">
        <v>6</v>
      </c>
    </row>
    <row r="1606" spans="1:11">
      <c r="A1606" t="s">
        <v>1619</v>
      </c>
      <c r="B1606">
        <v>536701</v>
      </c>
      <c r="C1606" s="2" t="str">
        <f>"EFBLK"</f>
        <v>EFBLK</v>
      </c>
      <c r="D1606" t="s">
        <v>1645</v>
      </c>
      <c r="E1606" t="s">
        <v>4</v>
      </c>
      <c r="F1606">
        <v>5.55</v>
      </c>
      <c r="H1606" t="s">
        <v>5</v>
      </c>
      <c r="I1606" s="1">
        <v>14.94</v>
      </c>
      <c r="J1606" s="1">
        <v>14.8</v>
      </c>
      <c r="K1606" t="s">
        <v>6</v>
      </c>
    </row>
    <row r="1607" spans="1:11">
      <c r="A1607" t="s">
        <v>1619</v>
      </c>
      <c r="B1607">
        <v>536708</v>
      </c>
      <c r="C1607" s="2" t="str">
        <f>"EFW"</f>
        <v>EFW</v>
      </c>
      <c r="D1607" t="s">
        <v>1646</v>
      </c>
      <c r="E1607" t="s">
        <v>4</v>
      </c>
      <c r="F1607">
        <v>5.6</v>
      </c>
      <c r="H1607" t="s">
        <v>5</v>
      </c>
      <c r="I1607" s="1">
        <v>13.32</v>
      </c>
      <c r="J1607" s="1">
        <v>13.19</v>
      </c>
      <c r="K1607" t="s">
        <v>6</v>
      </c>
    </row>
    <row r="1608" spans="1:11">
      <c r="A1608" t="s">
        <v>1619</v>
      </c>
      <c r="B1608">
        <v>536711</v>
      </c>
      <c r="C1608" s="2" t="str">
        <f>"EPW"</f>
        <v>EPW</v>
      </c>
      <c r="D1608" t="s">
        <v>1647</v>
      </c>
      <c r="E1608" t="s">
        <v>4</v>
      </c>
      <c r="F1608">
        <v>5.95</v>
      </c>
      <c r="H1608" t="s">
        <v>5</v>
      </c>
      <c r="I1608" s="1">
        <v>14.41</v>
      </c>
      <c r="J1608" s="1">
        <v>14.27</v>
      </c>
      <c r="K1608" t="s">
        <v>6</v>
      </c>
    </row>
    <row r="1609" spans="1:11">
      <c r="A1609" t="s">
        <v>1619</v>
      </c>
      <c r="B1609">
        <v>536704</v>
      </c>
      <c r="C1609" s="2" t="str">
        <f>"ESBLK"</f>
        <v>ESBLK</v>
      </c>
      <c r="D1609" t="s">
        <v>1648</v>
      </c>
      <c r="E1609" t="s">
        <v>4</v>
      </c>
      <c r="F1609">
        <v>5.6</v>
      </c>
      <c r="H1609" t="s">
        <v>5</v>
      </c>
      <c r="I1609" s="1">
        <v>15.51</v>
      </c>
      <c r="J1609" s="1">
        <v>15.36</v>
      </c>
      <c r="K1609" t="s">
        <v>6</v>
      </c>
    </row>
    <row r="1610" spans="1:11">
      <c r="A1610" t="s">
        <v>1619</v>
      </c>
      <c r="B1610">
        <v>536712</v>
      </c>
      <c r="C1610" s="2" t="str">
        <f>"ESW"</f>
        <v>ESW</v>
      </c>
      <c r="D1610" t="s">
        <v>1649</v>
      </c>
      <c r="E1610" t="s">
        <v>4</v>
      </c>
      <c r="F1610">
        <v>5.6</v>
      </c>
      <c r="H1610" t="s">
        <v>5</v>
      </c>
      <c r="I1610" s="1">
        <v>13.32</v>
      </c>
      <c r="J1610" s="1">
        <v>13.19</v>
      </c>
      <c r="K1610" t="s">
        <v>6</v>
      </c>
    </row>
    <row r="1611" spans="1:11">
      <c r="A1611" t="s">
        <v>1619</v>
      </c>
      <c r="B1611">
        <v>536760</v>
      </c>
      <c r="C1611" s="2" t="str">
        <f>"IAFW"</f>
        <v>IAFW</v>
      </c>
      <c r="D1611" t="s">
        <v>1650</v>
      </c>
      <c r="E1611" t="s">
        <v>4</v>
      </c>
      <c r="F1611">
        <v>12.25</v>
      </c>
      <c r="H1611" t="s">
        <v>5</v>
      </c>
      <c r="I1611" s="1">
        <v>38.78</v>
      </c>
      <c r="J1611" s="1">
        <v>38.4</v>
      </c>
      <c r="K1611" t="s">
        <v>6</v>
      </c>
    </row>
    <row r="1612" spans="1:11">
      <c r="A1612" t="s">
        <v>1619</v>
      </c>
      <c r="B1612">
        <v>536757</v>
      </c>
      <c r="C1612" s="2" t="str">
        <f>"IAPBLK"</f>
        <v>IAPBLK</v>
      </c>
      <c r="D1612" t="s">
        <v>1651</v>
      </c>
      <c r="E1612" t="s">
        <v>4</v>
      </c>
      <c r="F1612">
        <v>11.05</v>
      </c>
      <c r="H1612" t="s">
        <v>5</v>
      </c>
      <c r="I1612" s="1">
        <v>38.549999999999997</v>
      </c>
      <c r="J1612" s="1">
        <v>38.18</v>
      </c>
      <c r="K1612" t="s">
        <v>6</v>
      </c>
    </row>
    <row r="1613" spans="1:11">
      <c r="A1613" t="s">
        <v>1619</v>
      </c>
      <c r="B1613">
        <v>536771</v>
      </c>
      <c r="C1613" s="2" t="str">
        <f>"IEDW"</f>
        <v>IEDW</v>
      </c>
      <c r="D1613" t="s">
        <v>1652</v>
      </c>
      <c r="E1613" t="s">
        <v>4</v>
      </c>
      <c r="F1613">
        <v>6.5</v>
      </c>
      <c r="H1613" t="s">
        <v>5</v>
      </c>
      <c r="I1613" s="1">
        <v>18.690000000000001</v>
      </c>
      <c r="J1613" s="1">
        <v>18.510000000000002</v>
      </c>
      <c r="K1613" t="s">
        <v>6</v>
      </c>
    </row>
    <row r="1614" spans="1:11">
      <c r="A1614" t="s">
        <v>1619</v>
      </c>
      <c r="B1614">
        <v>536765</v>
      </c>
      <c r="C1614" s="2" t="str">
        <f>"IEFBLK"</f>
        <v>IEFBLK</v>
      </c>
      <c r="D1614" t="s">
        <v>1653</v>
      </c>
      <c r="E1614" t="s">
        <v>4</v>
      </c>
      <c r="F1614">
        <v>6.95</v>
      </c>
      <c r="H1614" t="s">
        <v>5</v>
      </c>
      <c r="I1614" s="1">
        <v>27.64</v>
      </c>
      <c r="J1614" s="1">
        <v>27.37</v>
      </c>
      <c r="K1614" t="s">
        <v>6</v>
      </c>
    </row>
    <row r="1615" spans="1:11">
      <c r="A1615" t="s">
        <v>1619</v>
      </c>
      <c r="B1615">
        <v>536772</v>
      </c>
      <c r="C1615" s="2" t="str">
        <f>"IEFW"</f>
        <v>IEFW</v>
      </c>
      <c r="D1615" t="s">
        <v>1654</v>
      </c>
      <c r="E1615" t="s">
        <v>4</v>
      </c>
      <c r="F1615">
        <v>6.5</v>
      </c>
      <c r="H1615" t="s">
        <v>5</v>
      </c>
      <c r="I1615" s="1">
        <v>18.690000000000001</v>
      </c>
      <c r="J1615" s="1">
        <v>18.510000000000002</v>
      </c>
      <c r="K1615" t="s">
        <v>6</v>
      </c>
    </row>
    <row r="1616" spans="1:11">
      <c r="A1616" t="s">
        <v>1619</v>
      </c>
      <c r="B1616">
        <v>536766</v>
      </c>
      <c r="C1616" s="2" t="str">
        <f>"IEKBLK"</f>
        <v>IEKBLK</v>
      </c>
      <c r="D1616" t="s">
        <v>1655</v>
      </c>
      <c r="E1616" t="s">
        <v>4</v>
      </c>
      <c r="F1616">
        <v>8.1999999999999993</v>
      </c>
      <c r="H1616" t="s">
        <v>5</v>
      </c>
      <c r="I1616" s="1">
        <v>28.71</v>
      </c>
      <c r="J1616" s="1">
        <v>28.43</v>
      </c>
      <c r="K1616" t="s">
        <v>6</v>
      </c>
    </row>
    <row r="1617" spans="1:11">
      <c r="A1617" t="s">
        <v>1619</v>
      </c>
      <c r="B1617">
        <v>536773</v>
      </c>
      <c r="C1617" s="2" t="str">
        <f>"IEKW"</f>
        <v>IEKW</v>
      </c>
      <c r="D1617" t="s">
        <v>1656</v>
      </c>
      <c r="E1617" t="s">
        <v>4</v>
      </c>
      <c r="F1617">
        <v>6.5</v>
      </c>
      <c r="H1617" t="s">
        <v>5</v>
      </c>
      <c r="I1617" s="1">
        <v>18.690000000000001</v>
      </c>
      <c r="J1617" s="1">
        <v>18.510000000000002</v>
      </c>
      <c r="K1617" t="s">
        <v>6</v>
      </c>
    </row>
    <row r="1618" spans="1:11">
      <c r="A1618" t="s">
        <v>1619</v>
      </c>
      <c r="B1618">
        <v>536767</v>
      </c>
      <c r="C1618" s="2" t="str">
        <f>"IEPBLK"</f>
        <v>IEPBLK</v>
      </c>
      <c r="D1618" t="s">
        <v>1657</v>
      </c>
      <c r="E1618" t="s">
        <v>4</v>
      </c>
      <c r="F1618">
        <v>8.1999999999999993</v>
      </c>
      <c r="H1618" t="s">
        <v>5</v>
      </c>
      <c r="I1618" s="1">
        <v>27.46</v>
      </c>
      <c r="J1618" s="1">
        <v>27.2</v>
      </c>
      <c r="K1618" t="s">
        <v>6</v>
      </c>
    </row>
    <row r="1619" spans="1:11">
      <c r="A1619" t="s">
        <v>1619</v>
      </c>
      <c r="B1619">
        <v>536774</v>
      </c>
      <c r="C1619" s="2" t="str">
        <f>"IEPW"</f>
        <v>IEPW</v>
      </c>
      <c r="D1619" t="s">
        <v>1658</v>
      </c>
      <c r="E1619" t="s">
        <v>4</v>
      </c>
      <c r="F1619">
        <v>6.5</v>
      </c>
      <c r="H1619" t="s">
        <v>5</v>
      </c>
      <c r="I1619" s="1">
        <v>27.07</v>
      </c>
      <c r="J1619" s="1">
        <v>26.81</v>
      </c>
      <c r="K1619" t="s">
        <v>6</v>
      </c>
    </row>
    <row r="1620" spans="1:11">
      <c r="A1620" t="s">
        <v>1619</v>
      </c>
      <c r="B1620">
        <v>536770</v>
      </c>
      <c r="C1620" s="2" t="str">
        <f>"IESBLK"</f>
        <v>IESBLK</v>
      </c>
      <c r="D1620" t="s">
        <v>1659</v>
      </c>
      <c r="E1620" t="s">
        <v>4</v>
      </c>
      <c r="F1620">
        <v>6.95</v>
      </c>
      <c r="H1620" t="s">
        <v>5</v>
      </c>
      <c r="I1620" s="1">
        <v>28.37</v>
      </c>
      <c r="J1620" s="1">
        <v>28.1</v>
      </c>
      <c r="K1620" t="s">
        <v>6</v>
      </c>
    </row>
    <row r="1621" spans="1:11">
      <c r="A1621" t="s">
        <v>1619</v>
      </c>
      <c r="B1621">
        <v>536775</v>
      </c>
      <c r="C1621" s="2" t="str">
        <f>"IESW"</f>
        <v>IESW</v>
      </c>
      <c r="D1621" t="s">
        <v>1660</v>
      </c>
      <c r="E1621" t="s">
        <v>4</v>
      </c>
      <c r="F1621">
        <v>6.7</v>
      </c>
      <c r="H1621" t="s">
        <v>5</v>
      </c>
      <c r="I1621" s="1">
        <v>18.690000000000001</v>
      </c>
      <c r="J1621" s="1">
        <v>18.510000000000002</v>
      </c>
      <c r="K1621" t="s">
        <v>6</v>
      </c>
    </row>
    <row r="1622" spans="1:11">
      <c r="A1622" t="s">
        <v>1619</v>
      </c>
      <c r="B1622">
        <v>536886</v>
      </c>
      <c r="C1622" s="2" t="str">
        <f>"PG07BLK-D"</f>
        <v>PG07BLK-D</v>
      </c>
      <c r="D1622" t="s">
        <v>1661</v>
      </c>
      <c r="E1622" t="s">
        <v>4</v>
      </c>
      <c r="F1622">
        <v>24.4</v>
      </c>
      <c r="H1622" t="s">
        <v>5</v>
      </c>
      <c r="I1622" s="1">
        <v>65.680000000000007</v>
      </c>
      <c r="J1622" s="1">
        <v>65.040000000000006</v>
      </c>
      <c r="K1622" t="s">
        <v>6</v>
      </c>
    </row>
    <row r="1623" spans="1:11">
      <c r="A1623" t="s">
        <v>1619</v>
      </c>
      <c r="B1623">
        <v>538999</v>
      </c>
      <c r="C1623" s="2" t="str">
        <f>"PG96"</f>
        <v>PG96</v>
      </c>
      <c r="D1623" t="s">
        <v>1662</v>
      </c>
      <c r="E1623" t="s">
        <v>4</v>
      </c>
      <c r="F1623">
        <v>18.899999999999999</v>
      </c>
      <c r="H1623" t="s">
        <v>5</v>
      </c>
      <c r="I1623" s="1">
        <v>51.78</v>
      </c>
      <c r="J1623" s="1">
        <v>51.28</v>
      </c>
      <c r="K1623" t="s">
        <v>6</v>
      </c>
    </row>
    <row r="1624" spans="1:11">
      <c r="A1624" t="s">
        <v>1619</v>
      </c>
      <c r="B1624">
        <v>538649</v>
      </c>
      <c r="C1624" s="2" t="str">
        <f>"PT28"</f>
        <v>PT28</v>
      </c>
      <c r="D1624" t="s">
        <v>1663</v>
      </c>
      <c r="E1624" t="s">
        <v>4</v>
      </c>
      <c r="F1624">
        <v>12.5</v>
      </c>
      <c r="H1624" t="s">
        <v>5</v>
      </c>
      <c r="I1624" s="1">
        <v>29.23</v>
      </c>
      <c r="J1624" s="1">
        <v>28.95</v>
      </c>
      <c r="K1624" t="s">
        <v>6</v>
      </c>
    </row>
    <row r="1625" spans="1:11">
      <c r="A1625" t="s">
        <v>1619</v>
      </c>
      <c r="B1625">
        <v>543697</v>
      </c>
      <c r="C1625" s="2" t="str">
        <f>"PT28RED"</f>
        <v>PT28RED</v>
      </c>
      <c r="D1625" t="s">
        <v>1664</v>
      </c>
      <c r="E1625" t="s">
        <v>4</v>
      </c>
      <c r="F1625">
        <v>12.5</v>
      </c>
      <c r="H1625" t="s">
        <v>5</v>
      </c>
      <c r="I1625" s="1">
        <v>30.03</v>
      </c>
      <c r="J1625" s="1">
        <v>29.74</v>
      </c>
      <c r="K1625" t="s">
        <v>6</v>
      </c>
    </row>
    <row r="1626" spans="1:11">
      <c r="A1626" t="s">
        <v>1619</v>
      </c>
      <c r="B1626">
        <v>543249</v>
      </c>
      <c r="C1626" s="2" t="str">
        <f>"PV54"</f>
        <v>PV54</v>
      </c>
      <c r="D1626" t="s">
        <v>1665</v>
      </c>
      <c r="E1626" t="s">
        <v>4</v>
      </c>
      <c r="F1626">
        <v>4.7</v>
      </c>
      <c r="H1626" t="s">
        <v>5</v>
      </c>
      <c r="I1626" s="1">
        <v>10.9</v>
      </c>
      <c r="J1626" s="1">
        <v>10.79</v>
      </c>
      <c r="K1626" t="s">
        <v>6</v>
      </c>
    </row>
    <row r="1627" spans="1:11">
      <c r="A1627" t="s">
        <v>1619</v>
      </c>
      <c r="B1627">
        <v>536888</v>
      </c>
      <c r="C1627" s="2" t="str">
        <f>"PV54BLUE"</f>
        <v>PV54BLUE</v>
      </c>
      <c r="D1627" t="s">
        <v>1666</v>
      </c>
      <c r="E1627" t="s">
        <v>4</v>
      </c>
      <c r="F1627">
        <v>3.92</v>
      </c>
      <c r="H1627" t="s">
        <v>5</v>
      </c>
      <c r="I1627" s="1">
        <v>10.63</v>
      </c>
      <c r="J1627" s="1">
        <v>10.53</v>
      </c>
      <c r="K1627" t="s">
        <v>6</v>
      </c>
    </row>
    <row r="1628" spans="1:11">
      <c r="A1628" t="s">
        <v>1619</v>
      </c>
      <c r="B1628">
        <v>544263</v>
      </c>
      <c r="C1628" s="2" t="str">
        <f>"PV94"</f>
        <v>PV94</v>
      </c>
      <c r="D1628" t="s">
        <v>1667</v>
      </c>
      <c r="E1628" t="s">
        <v>4</v>
      </c>
      <c r="F1628">
        <v>7.2</v>
      </c>
      <c r="H1628" t="s">
        <v>5</v>
      </c>
      <c r="I1628" s="1">
        <v>18.88</v>
      </c>
      <c r="J1628" s="1">
        <v>18.7</v>
      </c>
      <c r="K1628" t="s">
        <v>6</v>
      </c>
    </row>
    <row r="1629" spans="1:11">
      <c r="A1629" t="s">
        <v>1619</v>
      </c>
      <c r="B1629">
        <v>541347</v>
      </c>
      <c r="C1629" s="2" t="str">
        <f>"TD8NSPW250"</f>
        <v>TD8NSPW250</v>
      </c>
      <c r="D1629" t="s">
        <v>1668</v>
      </c>
      <c r="E1629" t="s">
        <v>4</v>
      </c>
      <c r="F1629">
        <v>4.05</v>
      </c>
      <c r="H1629" t="s">
        <v>5</v>
      </c>
      <c r="I1629" s="1">
        <v>19.350000000000001</v>
      </c>
      <c r="J1629" s="1">
        <v>19.16</v>
      </c>
      <c r="K1629" t="s">
        <v>6</v>
      </c>
    </row>
    <row r="1630" spans="1:11">
      <c r="A1630" t="s">
        <v>1619</v>
      </c>
      <c r="B1630">
        <v>536896</v>
      </c>
      <c r="C1630" s="2" t="str">
        <f>"UC41BLK"</f>
        <v>UC41BLK</v>
      </c>
      <c r="D1630" t="s">
        <v>1669</v>
      </c>
      <c r="E1630" t="s">
        <v>4</v>
      </c>
      <c r="F1630">
        <v>5.5</v>
      </c>
      <c r="H1630" t="s">
        <v>5</v>
      </c>
      <c r="I1630" s="1">
        <v>20.309999999999999</v>
      </c>
      <c r="J1630" s="1">
        <v>20.12</v>
      </c>
      <c r="K1630" t="s">
        <v>6</v>
      </c>
    </row>
    <row r="1631" spans="1:11">
      <c r="A1631" t="s">
        <v>1619</v>
      </c>
      <c r="B1631">
        <v>536897</v>
      </c>
      <c r="C1631" s="2" t="str">
        <f>"UC41RED"</f>
        <v>UC41RED</v>
      </c>
      <c r="D1631" t="s">
        <v>1670</v>
      </c>
      <c r="E1631" t="s">
        <v>4</v>
      </c>
      <c r="F1631">
        <v>5.5</v>
      </c>
      <c r="H1631" t="s">
        <v>5</v>
      </c>
      <c r="I1631" s="1">
        <v>21.1</v>
      </c>
      <c r="J1631" s="1">
        <v>20.9</v>
      </c>
      <c r="K1631" t="s">
        <v>6</v>
      </c>
    </row>
    <row r="1632" spans="1:11">
      <c r="A1632" t="s">
        <v>1619</v>
      </c>
      <c r="B1632">
        <v>540058</v>
      </c>
      <c r="C1632" s="2" t="str">
        <f>"UG04BLK"</f>
        <v>UG04BLK</v>
      </c>
      <c r="D1632" t="s">
        <v>1671</v>
      </c>
      <c r="E1632" t="s">
        <v>4</v>
      </c>
      <c r="F1632">
        <v>4.0999999999999996</v>
      </c>
      <c r="H1632" t="s">
        <v>5</v>
      </c>
      <c r="I1632" s="1">
        <v>9.02</v>
      </c>
      <c r="J1632" s="1">
        <v>8.94</v>
      </c>
      <c r="K1632" t="s">
        <v>6</v>
      </c>
    </row>
    <row r="1633" spans="1:11">
      <c r="A1633" t="s">
        <v>1619</v>
      </c>
      <c r="B1633">
        <v>536859</v>
      </c>
      <c r="C1633" s="2" t="str">
        <f>"UG22"</f>
        <v>UG22</v>
      </c>
      <c r="D1633" t="s">
        <v>1672</v>
      </c>
      <c r="E1633" t="s">
        <v>4</v>
      </c>
      <c r="F1633">
        <v>17</v>
      </c>
      <c r="H1633" t="s">
        <v>5</v>
      </c>
      <c r="I1633" s="1">
        <v>46.08</v>
      </c>
      <c r="J1633" s="1">
        <v>45.63</v>
      </c>
      <c r="K1633" t="s">
        <v>6</v>
      </c>
    </row>
    <row r="1634" spans="1:11">
      <c r="A1634" t="s">
        <v>1619</v>
      </c>
      <c r="B1634">
        <v>543891</v>
      </c>
      <c r="C1634" s="2" t="str">
        <f>"UH05BLK"</f>
        <v>UH05BLK</v>
      </c>
      <c r="D1634" t="s">
        <v>1673</v>
      </c>
      <c r="E1634" t="s">
        <v>4</v>
      </c>
      <c r="F1634">
        <v>13.5</v>
      </c>
      <c r="H1634" t="s">
        <v>5</v>
      </c>
      <c r="I1634" s="1">
        <v>51.27</v>
      </c>
      <c r="J1634" s="1">
        <v>50.77</v>
      </c>
      <c r="K1634" t="s">
        <v>6</v>
      </c>
    </row>
    <row r="1635" spans="1:11">
      <c r="A1635" t="s">
        <v>1619</v>
      </c>
      <c r="B1635">
        <v>536864</v>
      </c>
      <c r="C1635" s="2" t="str">
        <f>"UJ01BLK"</f>
        <v>UJ01BLK</v>
      </c>
      <c r="D1635" t="s">
        <v>1674</v>
      </c>
      <c r="E1635" t="s">
        <v>4</v>
      </c>
      <c r="F1635">
        <v>7.5</v>
      </c>
      <c r="H1635" t="s">
        <v>5</v>
      </c>
      <c r="I1635" s="1">
        <v>20.88</v>
      </c>
      <c r="J1635" s="1">
        <v>20.67</v>
      </c>
      <c r="K1635" t="s">
        <v>6</v>
      </c>
    </row>
    <row r="1636" spans="1:11">
      <c r="A1636" t="s">
        <v>1619</v>
      </c>
      <c r="B1636">
        <v>536865</v>
      </c>
      <c r="C1636" s="2" t="str">
        <f>"UJ02"</f>
        <v>UJ02</v>
      </c>
      <c r="D1636" t="s">
        <v>1675</v>
      </c>
      <c r="E1636" t="s">
        <v>4</v>
      </c>
      <c r="F1636">
        <v>16.399999999999999</v>
      </c>
      <c r="H1636" t="s">
        <v>5</v>
      </c>
      <c r="I1636" s="1">
        <v>45.7</v>
      </c>
      <c r="J1636" s="1">
        <v>45.26</v>
      </c>
      <c r="K1636" t="s">
        <v>6</v>
      </c>
    </row>
    <row r="1637" spans="1:11">
      <c r="A1637" t="s">
        <v>1619</v>
      </c>
      <c r="B1637">
        <v>536866</v>
      </c>
      <c r="C1637" s="2" t="str">
        <f>"UJ22"</f>
        <v>UJ22</v>
      </c>
      <c r="D1637" t="s">
        <v>1676</v>
      </c>
      <c r="E1637" t="s">
        <v>4</v>
      </c>
      <c r="F1637">
        <v>16.399999999999999</v>
      </c>
      <c r="H1637" t="s">
        <v>5</v>
      </c>
      <c r="I1637" s="1">
        <v>48.12</v>
      </c>
      <c r="J1637" s="1">
        <v>47.66</v>
      </c>
      <c r="K1637" t="s">
        <v>6</v>
      </c>
    </row>
    <row r="1638" spans="1:11">
      <c r="A1638" t="s">
        <v>1619</v>
      </c>
      <c r="B1638">
        <v>536901</v>
      </c>
      <c r="C1638" s="2" t="str">
        <f>"UO41"</f>
        <v>UO41</v>
      </c>
      <c r="D1638" t="s">
        <v>1677</v>
      </c>
      <c r="E1638" t="s">
        <v>4</v>
      </c>
      <c r="F1638">
        <v>9.59</v>
      </c>
      <c r="H1638" t="s">
        <v>5</v>
      </c>
      <c r="I1638" s="1">
        <v>36.76</v>
      </c>
      <c r="J1638" s="1">
        <v>36.4</v>
      </c>
      <c r="K1638" t="s">
        <v>6</v>
      </c>
    </row>
    <row r="1639" spans="1:11">
      <c r="A1639" t="s">
        <v>1619</v>
      </c>
      <c r="B1639">
        <v>536898</v>
      </c>
      <c r="C1639" s="2" t="str">
        <f>"UP41-N"</f>
        <v>UP41-N</v>
      </c>
      <c r="D1639" t="s">
        <v>1678</v>
      </c>
      <c r="E1639" t="s">
        <v>4</v>
      </c>
      <c r="F1639">
        <v>5.3</v>
      </c>
      <c r="H1639" t="s">
        <v>5</v>
      </c>
      <c r="I1639" s="1">
        <v>20.29</v>
      </c>
      <c r="J1639" s="1">
        <v>20.09</v>
      </c>
      <c r="K1639" t="s">
        <v>6</v>
      </c>
    </row>
    <row r="1640" spans="1:11">
      <c r="A1640" t="s">
        <v>1619</v>
      </c>
      <c r="B1640">
        <v>536899</v>
      </c>
      <c r="C1640" s="2" t="str">
        <f>"US41"</f>
        <v>US41</v>
      </c>
      <c r="D1640" t="s">
        <v>1679</v>
      </c>
      <c r="E1640" t="s">
        <v>4</v>
      </c>
      <c r="F1640">
        <v>10.3</v>
      </c>
      <c r="H1640" t="s">
        <v>5</v>
      </c>
      <c r="I1640" s="1">
        <v>32.15</v>
      </c>
      <c r="J1640" s="1">
        <v>31.84</v>
      </c>
      <c r="K1640" t="s">
        <v>6</v>
      </c>
    </row>
    <row r="1641" spans="1:11">
      <c r="A1641" t="s">
        <v>1619</v>
      </c>
      <c r="B1641">
        <v>536900</v>
      </c>
      <c r="C1641" s="2" t="str">
        <f>"US41N"</f>
        <v>US41N</v>
      </c>
      <c r="D1641" t="s">
        <v>1680</v>
      </c>
      <c r="E1641" t="s">
        <v>4</v>
      </c>
      <c r="F1641">
        <v>8.65</v>
      </c>
      <c r="H1641" t="s">
        <v>5</v>
      </c>
      <c r="I1641" s="1">
        <v>23.82</v>
      </c>
      <c r="J1641" s="1">
        <v>23.59</v>
      </c>
      <c r="K1641" t="s">
        <v>6</v>
      </c>
    </row>
    <row r="1642" spans="1:11">
      <c r="A1642" t="s">
        <v>1619</v>
      </c>
      <c r="B1642">
        <v>536867</v>
      </c>
      <c r="C1642" s="2" t="str">
        <f>"UY91"</f>
        <v>UY91</v>
      </c>
      <c r="D1642" t="s">
        <v>1681</v>
      </c>
      <c r="E1642" t="s">
        <v>4</v>
      </c>
      <c r="F1642">
        <v>5.2</v>
      </c>
      <c r="H1642" t="s">
        <v>5</v>
      </c>
      <c r="I1642" s="1">
        <v>17.97</v>
      </c>
      <c r="J1642" s="1">
        <v>17.79</v>
      </c>
      <c r="K1642" t="s">
        <v>6</v>
      </c>
    </row>
    <row r="1643" spans="1:11">
      <c r="A1643" t="s">
        <v>1619</v>
      </c>
      <c r="B1643">
        <v>536868</v>
      </c>
      <c r="C1643" s="2" t="str">
        <f>"UY91BLK"</f>
        <v>UY91BLK</v>
      </c>
      <c r="D1643" t="s">
        <v>1682</v>
      </c>
      <c r="E1643" t="s">
        <v>4</v>
      </c>
      <c r="F1643">
        <v>5.2</v>
      </c>
      <c r="H1643" t="s">
        <v>5</v>
      </c>
      <c r="I1643" s="1">
        <v>17.39</v>
      </c>
      <c r="J1643" s="1">
        <v>17.22</v>
      </c>
      <c r="K1643" t="s">
        <v>6</v>
      </c>
    </row>
    <row r="1644" spans="1:11">
      <c r="A1644" t="s">
        <v>1619</v>
      </c>
      <c r="B1644">
        <v>536875</v>
      </c>
      <c r="C1644" s="2" t="str">
        <f>"WF13"</f>
        <v>WF13</v>
      </c>
      <c r="D1644" t="s">
        <v>1683</v>
      </c>
      <c r="E1644" t="s">
        <v>4</v>
      </c>
      <c r="F1644">
        <v>23.5</v>
      </c>
      <c r="H1644" t="s">
        <v>5</v>
      </c>
      <c r="I1644" s="1">
        <v>72.239999999999995</v>
      </c>
      <c r="J1644" s="1">
        <v>71.540000000000006</v>
      </c>
      <c r="K1644" t="s">
        <v>6</v>
      </c>
    </row>
    <row r="1645" spans="1:11">
      <c r="A1645" t="s">
        <v>1619</v>
      </c>
      <c r="B1645">
        <v>540050</v>
      </c>
      <c r="C1645" s="2" t="str">
        <f>"WG03AP"</f>
        <v>WG03AP</v>
      </c>
      <c r="D1645" t="s">
        <v>1684</v>
      </c>
      <c r="E1645" t="s">
        <v>4</v>
      </c>
      <c r="F1645">
        <v>22</v>
      </c>
      <c r="H1645" t="s">
        <v>5</v>
      </c>
      <c r="I1645" s="1">
        <v>54.7</v>
      </c>
      <c r="J1645" s="1">
        <v>54.17</v>
      </c>
      <c r="K1645" t="s">
        <v>6</v>
      </c>
    </row>
    <row r="1646" spans="1:11">
      <c r="A1646" t="s">
        <v>1619</v>
      </c>
      <c r="B1646">
        <v>536871</v>
      </c>
      <c r="C1646" s="2" t="str">
        <f>"WG23"</f>
        <v>WG23</v>
      </c>
      <c r="D1646" t="s">
        <v>1685</v>
      </c>
      <c r="E1646" t="s">
        <v>4</v>
      </c>
      <c r="F1646">
        <v>22</v>
      </c>
      <c r="H1646" t="s">
        <v>5</v>
      </c>
      <c r="I1646" s="1">
        <v>53.87</v>
      </c>
      <c r="J1646" s="1">
        <v>53.35</v>
      </c>
      <c r="K1646" t="s">
        <v>6</v>
      </c>
    </row>
    <row r="1647" spans="1:11">
      <c r="A1647" t="s">
        <v>1619</v>
      </c>
      <c r="B1647">
        <v>536872</v>
      </c>
      <c r="C1647" s="2" t="str">
        <f>"WG53N"</f>
        <v>WG53N</v>
      </c>
      <c r="D1647" t="s">
        <v>1686</v>
      </c>
      <c r="E1647" t="s">
        <v>4</v>
      </c>
      <c r="F1647">
        <v>22</v>
      </c>
      <c r="H1647" t="s">
        <v>5</v>
      </c>
      <c r="I1647" s="1">
        <v>63.96</v>
      </c>
      <c r="J1647" s="1">
        <v>63.34</v>
      </c>
      <c r="K1647" t="s">
        <v>6</v>
      </c>
    </row>
    <row r="1648" spans="1:11">
      <c r="A1648" t="s">
        <v>1619</v>
      </c>
      <c r="B1648">
        <v>536876</v>
      </c>
      <c r="C1648" s="2" t="str">
        <f>"WJ01"</f>
        <v>WJ01</v>
      </c>
      <c r="D1648" t="s">
        <v>1687</v>
      </c>
      <c r="E1648" t="s">
        <v>4</v>
      </c>
      <c r="F1648">
        <v>9.6999999999999993</v>
      </c>
      <c r="H1648" t="s">
        <v>5</v>
      </c>
      <c r="I1648" s="1">
        <v>25.63</v>
      </c>
      <c r="J1648" s="1">
        <v>25.38</v>
      </c>
      <c r="K1648" t="s">
        <v>6</v>
      </c>
    </row>
    <row r="1649" spans="1:11">
      <c r="A1649" t="s">
        <v>1619</v>
      </c>
      <c r="B1649">
        <v>536877</v>
      </c>
      <c r="C1649" s="2" t="str">
        <f>"WJ01BLK"</f>
        <v>WJ01BLK</v>
      </c>
      <c r="D1649" t="s">
        <v>1688</v>
      </c>
      <c r="E1649" t="s">
        <v>4</v>
      </c>
      <c r="F1649">
        <v>9.6999999999999993</v>
      </c>
      <c r="H1649" t="s">
        <v>5</v>
      </c>
      <c r="I1649" s="1">
        <v>26</v>
      </c>
      <c r="J1649" s="1">
        <v>25.75</v>
      </c>
      <c r="K1649" t="s">
        <v>6</v>
      </c>
    </row>
    <row r="1650" spans="1:11">
      <c r="A1650" t="s">
        <v>1619</v>
      </c>
      <c r="B1650">
        <v>536878</v>
      </c>
      <c r="C1650" s="2" t="str">
        <f>"WJ01F"</f>
        <v>WJ01F</v>
      </c>
      <c r="D1650" t="s">
        <v>1689</v>
      </c>
      <c r="E1650" t="s">
        <v>4</v>
      </c>
      <c r="F1650">
        <v>9.6999999999999993</v>
      </c>
      <c r="H1650" t="s">
        <v>5</v>
      </c>
      <c r="I1650" s="1">
        <v>27.37</v>
      </c>
      <c r="J1650" s="1">
        <v>27.1</v>
      </c>
      <c r="K1650" t="s">
        <v>6</v>
      </c>
    </row>
    <row r="1651" spans="1:11">
      <c r="A1651" t="s">
        <v>1619</v>
      </c>
      <c r="B1651">
        <v>536879</v>
      </c>
      <c r="C1651" s="2" t="str">
        <f>"WJ02"</f>
        <v>WJ02</v>
      </c>
      <c r="D1651" t="s">
        <v>1690</v>
      </c>
      <c r="E1651" t="s">
        <v>4</v>
      </c>
      <c r="F1651">
        <v>21.6</v>
      </c>
      <c r="H1651" t="s">
        <v>5</v>
      </c>
      <c r="I1651" s="1">
        <v>58.98</v>
      </c>
      <c r="J1651" s="1">
        <v>58.41</v>
      </c>
      <c r="K1651" t="s">
        <v>6</v>
      </c>
    </row>
    <row r="1652" spans="1:11">
      <c r="A1652" t="s">
        <v>1619</v>
      </c>
      <c r="B1652">
        <v>536880</v>
      </c>
      <c r="C1652" s="2" t="str">
        <f>"WJ04"</f>
        <v>WJ04</v>
      </c>
      <c r="D1652" t="s">
        <v>1691</v>
      </c>
      <c r="E1652" t="s">
        <v>4</v>
      </c>
      <c r="F1652">
        <v>4.0999999999999996</v>
      </c>
      <c r="H1652" t="s">
        <v>5</v>
      </c>
      <c r="I1652" s="1">
        <v>10.81</v>
      </c>
      <c r="J1652" s="1">
        <v>10.7</v>
      </c>
      <c r="K1652" t="s">
        <v>6</v>
      </c>
    </row>
    <row r="1653" spans="1:11">
      <c r="A1653" t="s">
        <v>1619</v>
      </c>
      <c r="B1653">
        <v>536881</v>
      </c>
      <c r="C1653" s="2" t="str">
        <f>"WJ22"</f>
        <v>WJ22</v>
      </c>
      <c r="D1653" t="s">
        <v>1692</v>
      </c>
      <c r="E1653" t="s">
        <v>4</v>
      </c>
      <c r="F1653">
        <v>21.6</v>
      </c>
      <c r="H1653" t="s">
        <v>5</v>
      </c>
      <c r="I1653" s="1">
        <v>59.38</v>
      </c>
      <c r="J1653" s="1">
        <v>58.81</v>
      </c>
      <c r="K1653" t="s">
        <v>6</v>
      </c>
    </row>
    <row r="1654" spans="1:11">
      <c r="A1654" t="s">
        <v>1619</v>
      </c>
      <c r="B1654">
        <v>536885</v>
      </c>
      <c r="C1654" s="2" t="str">
        <f>"WM12"</f>
        <v>WM12</v>
      </c>
      <c r="D1654" t="s">
        <v>1693</v>
      </c>
      <c r="E1654" t="s">
        <v>4</v>
      </c>
      <c r="F1654">
        <v>11.5</v>
      </c>
      <c r="H1654" t="s">
        <v>5</v>
      </c>
      <c r="I1654" s="1">
        <v>47.95</v>
      </c>
      <c r="J1654" s="1">
        <v>47.48</v>
      </c>
      <c r="K1654" t="s">
        <v>6</v>
      </c>
    </row>
    <row r="1655" spans="1:11">
      <c r="A1655" t="s">
        <v>1619</v>
      </c>
      <c r="B1655">
        <v>536882</v>
      </c>
      <c r="C1655" s="2" t="str">
        <f>"WT04"</f>
        <v>WT04</v>
      </c>
      <c r="D1655" t="s">
        <v>1694</v>
      </c>
      <c r="E1655" t="s">
        <v>4</v>
      </c>
      <c r="F1655">
        <v>5.6</v>
      </c>
      <c r="H1655" t="s">
        <v>5</v>
      </c>
      <c r="I1655" s="1">
        <v>13.52</v>
      </c>
      <c r="J1655" s="1">
        <v>13.39</v>
      </c>
      <c r="K1655" t="s">
        <v>6</v>
      </c>
    </row>
    <row r="1656" spans="1:11">
      <c r="A1656" t="s">
        <v>1619</v>
      </c>
      <c r="B1656">
        <v>537263</v>
      </c>
      <c r="C1656" s="2" t="str">
        <f>"WT08"</f>
        <v>WT08</v>
      </c>
      <c r="D1656" t="s">
        <v>1695</v>
      </c>
      <c r="E1656" t="s">
        <v>4</v>
      </c>
      <c r="F1656">
        <v>12.92</v>
      </c>
      <c r="H1656" t="s">
        <v>5</v>
      </c>
      <c r="I1656" s="1">
        <v>35.97</v>
      </c>
      <c r="J1656" s="1">
        <v>35.619999999999997</v>
      </c>
      <c r="K1656" t="s">
        <v>6</v>
      </c>
    </row>
    <row r="1657" spans="1:11">
      <c r="A1657" t="s">
        <v>1619</v>
      </c>
      <c r="B1657">
        <v>536883</v>
      </c>
      <c r="C1657" s="2" t="str">
        <f>"WT24"</f>
        <v>WT24</v>
      </c>
      <c r="D1657" t="s">
        <v>1696</v>
      </c>
      <c r="E1657" t="s">
        <v>4</v>
      </c>
      <c r="F1657">
        <v>5.6</v>
      </c>
      <c r="H1657" t="s">
        <v>5</v>
      </c>
      <c r="I1657" s="1">
        <v>13.1</v>
      </c>
      <c r="J1657" s="1">
        <v>12.97</v>
      </c>
      <c r="K1657" t="s">
        <v>6</v>
      </c>
    </row>
    <row r="1658" spans="1:11">
      <c r="A1658" t="s">
        <v>1619</v>
      </c>
      <c r="B1658">
        <v>537262</v>
      </c>
      <c r="C1658" s="2" t="str">
        <f>"WV04"</f>
        <v>WV04</v>
      </c>
      <c r="D1658" t="s">
        <v>1697</v>
      </c>
      <c r="E1658" t="s">
        <v>4</v>
      </c>
      <c r="F1658">
        <v>5.36</v>
      </c>
      <c r="H1658" t="s">
        <v>5</v>
      </c>
      <c r="I1658" s="1">
        <v>10.75</v>
      </c>
      <c r="J1658" s="1">
        <v>10.65</v>
      </c>
      <c r="K1658" t="s">
        <v>6</v>
      </c>
    </row>
    <row r="1659" spans="1:11">
      <c r="A1659" t="s">
        <v>1619</v>
      </c>
      <c r="B1659">
        <v>539355</v>
      </c>
      <c r="C1659" s="2" t="str">
        <f>"WV14"</f>
        <v>WV14</v>
      </c>
      <c r="D1659" t="s">
        <v>1698</v>
      </c>
      <c r="E1659" t="s">
        <v>4</v>
      </c>
      <c r="F1659">
        <v>5.36</v>
      </c>
      <c r="H1659" t="s">
        <v>5</v>
      </c>
      <c r="I1659" s="1">
        <v>12.53</v>
      </c>
      <c r="J1659" s="1">
        <v>12.41</v>
      </c>
      <c r="K1659" t="s">
        <v>6</v>
      </c>
    </row>
    <row r="1660" spans="1:11">
      <c r="A1660" t="s">
        <v>1619</v>
      </c>
      <c r="B1660">
        <v>536874</v>
      </c>
      <c r="C1660" s="2" t="str">
        <f>"WV54N"</f>
        <v>WV54N</v>
      </c>
      <c r="D1660" t="s">
        <v>1699</v>
      </c>
      <c r="E1660" t="s">
        <v>4</v>
      </c>
      <c r="F1660">
        <v>5.45</v>
      </c>
      <c r="H1660" t="s">
        <v>5</v>
      </c>
      <c r="I1660" s="1">
        <v>13.5</v>
      </c>
      <c r="J1660" s="1">
        <v>13.37</v>
      </c>
      <c r="K1660" t="s">
        <v>6</v>
      </c>
    </row>
    <row r="1661" spans="1:11">
      <c r="A1661" t="s">
        <v>1619</v>
      </c>
      <c r="B1661">
        <v>536873</v>
      </c>
      <c r="C1661" s="2" t="str">
        <f>"WVT54N"</f>
        <v>WVT54N</v>
      </c>
      <c r="D1661" t="s">
        <v>1700</v>
      </c>
      <c r="E1661" t="s">
        <v>4</v>
      </c>
      <c r="F1661">
        <v>6.1</v>
      </c>
      <c r="H1661" t="s">
        <v>5</v>
      </c>
      <c r="I1661" s="1">
        <v>14.93</v>
      </c>
      <c r="J1661" s="1">
        <v>14.78</v>
      </c>
      <c r="K1661" t="s">
        <v>6</v>
      </c>
    </row>
    <row r="1662" spans="1:11">
      <c r="A1662" t="s">
        <v>1619</v>
      </c>
      <c r="B1662">
        <v>540059</v>
      </c>
      <c r="C1662" s="2" t="str">
        <f>"WY51"</f>
        <v>WY51</v>
      </c>
      <c r="D1662" t="s">
        <v>1701</v>
      </c>
      <c r="E1662" t="s">
        <v>4</v>
      </c>
      <c r="F1662">
        <v>7.45</v>
      </c>
      <c r="H1662" t="s">
        <v>5</v>
      </c>
      <c r="I1662" s="1">
        <v>24.14</v>
      </c>
      <c r="J1662" s="1">
        <v>23.91</v>
      </c>
      <c r="K1662" t="s">
        <v>6</v>
      </c>
    </row>
    <row r="1663" spans="1:11">
      <c r="A1663" t="s">
        <v>1619</v>
      </c>
      <c r="B1663">
        <v>536902</v>
      </c>
      <c r="C1663" s="2" t="str">
        <f>"WY518F"</f>
        <v>WY518F</v>
      </c>
      <c r="D1663" t="s">
        <v>1702</v>
      </c>
      <c r="E1663" t="s">
        <v>4</v>
      </c>
      <c r="F1663">
        <v>6.5</v>
      </c>
      <c r="H1663" t="s">
        <v>5</v>
      </c>
      <c r="I1663" s="1">
        <v>23.33</v>
      </c>
      <c r="J1663" s="1">
        <v>23.1</v>
      </c>
      <c r="K1663" t="s">
        <v>6</v>
      </c>
    </row>
    <row r="1664" spans="1:11">
      <c r="A1664" t="s">
        <v>1619</v>
      </c>
      <c r="B1664">
        <v>541351</v>
      </c>
      <c r="C1664" s="2" t="str">
        <f>"X2ABLK-H"</f>
        <v>X2ABLK-H</v>
      </c>
      <c r="D1664" t="s">
        <v>1703</v>
      </c>
      <c r="E1664" t="s">
        <v>4</v>
      </c>
      <c r="F1664">
        <v>8.4700000000000006</v>
      </c>
      <c r="H1664" t="s">
        <v>5</v>
      </c>
      <c r="I1664" s="1">
        <v>22.59</v>
      </c>
      <c r="J1664" s="1">
        <v>22.37</v>
      </c>
      <c r="K1664" t="s">
        <v>6</v>
      </c>
    </row>
    <row r="1665" spans="1:11">
      <c r="A1665" t="s">
        <v>1619</v>
      </c>
      <c r="B1665">
        <v>537269</v>
      </c>
      <c r="C1665" s="2" t="str">
        <f>"X2ANSPBLK2-H"</f>
        <v>X2ANSPBLK2-H</v>
      </c>
      <c r="D1665" t="s">
        <v>1704</v>
      </c>
      <c r="E1665" t="s">
        <v>4</v>
      </c>
      <c r="F1665">
        <v>12.04</v>
      </c>
      <c r="H1665" t="s">
        <v>5</v>
      </c>
      <c r="I1665" s="1">
        <v>29.98</v>
      </c>
      <c r="J1665" s="1">
        <v>29.69</v>
      </c>
      <c r="K1665" t="s">
        <v>6</v>
      </c>
    </row>
    <row r="1666" spans="1:11">
      <c r="A1666" t="s">
        <v>1619</v>
      </c>
      <c r="B1666">
        <v>536794</v>
      </c>
      <c r="C1666" s="2" t="str">
        <f>"X3ANSPBLKH"</f>
        <v>X3ANSPBLKH</v>
      </c>
      <c r="D1666" t="s">
        <v>1705</v>
      </c>
      <c r="E1666" t="s">
        <v>4</v>
      </c>
      <c r="F1666">
        <v>13.3</v>
      </c>
      <c r="H1666" t="s">
        <v>5</v>
      </c>
      <c r="I1666" s="1">
        <v>36.340000000000003</v>
      </c>
      <c r="J1666" s="1">
        <v>35.99</v>
      </c>
      <c r="K1666" t="s">
        <v>6</v>
      </c>
    </row>
    <row r="1667" spans="1:11">
      <c r="A1667" t="s">
        <v>1619</v>
      </c>
      <c r="B1667">
        <v>536672</v>
      </c>
      <c r="C1667" s="2" t="str">
        <f>"XAKBLK"</f>
        <v>XAKBLK</v>
      </c>
      <c r="D1667" t="s">
        <v>1706</v>
      </c>
      <c r="E1667" t="s">
        <v>4</v>
      </c>
      <c r="F1667">
        <v>12.75</v>
      </c>
      <c r="H1667" t="s">
        <v>5</v>
      </c>
      <c r="I1667" s="1">
        <v>28.55</v>
      </c>
      <c r="J1667" s="1">
        <v>28.27</v>
      </c>
      <c r="K1667" t="s">
        <v>6</v>
      </c>
    </row>
    <row r="1668" spans="1:11">
      <c r="A1668" t="s">
        <v>1619</v>
      </c>
      <c r="B1668">
        <v>536681</v>
      </c>
      <c r="C1668" s="2" t="str">
        <f>"XAKW"</f>
        <v>XAKW</v>
      </c>
      <c r="D1668" t="s">
        <v>1707</v>
      </c>
      <c r="E1668" t="s">
        <v>4</v>
      </c>
      <c r="F1668">
        <v>12.75</v>
      </c>
      <c r="H1668" t="s">
        <v>5</v>
      </c>
      <c r="I1668" s="1">
        <v>30.93</v>
      </c>
      <c r="J1668" s="1">
        <v>30.63</v>
      </c>
      <c r="K1668" t="s">
        <v>6</v>
      </c>
    </row>
    <row r="1669" spans="1:11">
      <c r="A1669" t="s">
        <v>1619</v>
      </c>
      <c r="B1669">
        <v>536678</v>
      </c>
      <c r="C1669" s="2" t="str">
        <f>"XASC"</f>
        <v>XASC</v>
      </c>
      <c r="D1669" t="s">
        <v>1708</v>
      </c>
      <c r="E1669" t="s">
        <v>4</v>
      </c>
      <c r="F1669">
        <v>10.75</v>
      </c>
      <c r="H1669" t="s">
        <v>5</v>
      </c>
      <c r="I1669" s="1">
        <v>29.11</v>
      </c>
      <c r="J1669" s="1">
        <v>28.83</v>
      </c>
      <c r="K1669" t="s">
        <v>6</v>
      </c>
    </row>
    <row r="1670" spans="1:11">
      <c r="A1670" t="s">
        <v>1619</v>
      </c>
      <c r="B1670">
        <v>536743</v>
      </c>
      <c r="C1670" s="2" t="str">
        <f>"XIAFBLK-H"</f>
        <v>XIAFBLK-H</v>
      </c>
      <c r="D1670" t="s">
        <v>1709</v>
      </c>
      <c r="E1670" t="s">
        <v>4</v>
      </c>
      <c r="F1670">
        <v>15.34</v>
      </c>
      <c r="H1670" t="s">
        <v>5</v>
      </c>
      <c r="I1670" s="1">
        <v>42.79</v>
      </c>
      <c r="J1670" s="1">
        <v>42.38</v>
      </c>
      <c r="K1670" t="s">
        <v>6</v>
      </c>
    </row>
    <row r="1671" spans="1:11">
      <c r="A1671" t="s">
        <v>1710</v>
      </c>
      <c r="B1671">
        <v>482000</v>
      </c>
      <c r="C1671" s="2" t="str">
        <f>"1100371"</f>
        <v>1100371</v>
      </c>
      <c r="D1671" t="s">
        <v>1711</v>
      </c>
      <c r="E1671" t="s">
        <v>4</v>
      </c>
      <c r="F1671">
        <v>1.73</v>
      </c>
      <c r="H1671" t="s">
        <v>5</v>
      </c>
      <c r="I1671" s="1">
        <v>94.06</v>
      </c>
      <c r="J1671" s="1">
        <v>93.13</v>
      </c>
      <c r="K1671" t="s">
        <v>6</v>
      </c>
    </row>
    <row r="1672" spans="1:11">
      <c r="A1672" t="s">
        <v>1710</v>
      </c>
      <c r="B1672">
        <v>482001</v>
      </c>
      <c r="C1672" s="2" t="str">
        <f>"1100372"</f>
        <v>1100372</v>
      </c>
      <c r="D1672" t="s">
        <v>1712</v>
      </c>
      <c r="E1672" t="s">
        <v>4</v>
      </c>
      <c r="F1672">
        <v>1.73</v>
      </c>
      <c r="H1672" t="s">
        <v>5</v>
      </c>
      <c r="I1672" s="1">
        <v>94.06</v>
      </c>
      <c r="J1672" s="1">
        <v>93.13</v>
      </c>
      <c r="K1672" t="s">
        <v>6</v>
      </c>
    </row>
    <row r="1673" spans="1:11">
      <c r="A1673" t="s">
        <v>1710</v>
      </c>
      <c r="B1673">
        <v>482002</v>
      </c>
      <c r="C1673" s="2" t="str">
        <f>"1100373"</f>
        <v>1100373</v>
      </c>
      <c r="D1673" t="s">
        <v>1713</v>
      </c>
      <c r="E1673" t="s">
        <v>4</v>
      </c>
      <c r="F1673">
        <v>1.73</v>
      </c>
      <c r="H1673" t="s">
        <v>5</v>
      </c>
      <c r="I1673" s="1">
        <v>94.06</v>
      </c>
      <c r="J1673" s="1">
        <v>93.13</v>
      </c>
      <c r="K1673" t="s">
        <v>6</v>
      </c>
    </row>
    <row r="1674" spans="1:11">
      <c r="A1674" t="s">
        <v>1710</v>
      </c>
      <c r="B1674">
        <v>482003</v>
      </c>
      <c r="C1674" s="2" t="str">
        <f>"1100374"</f>
        <v>1100374</v>
      </c>
      <c r="D1674" t="s">
        <v>1714</v>
      </c>
      <c r="E1674" t="s">
        <v>4</v>
      </c>
      <c r="F1674">
        <v>1.73</v>
      </c>
      <c r="H1674" t="s">
        <v>5</v>
      </c>
      <c r="I1674" s="1">
        <v>94.06</v>
      </c>
      <c r="J1674" s="1">
        <v>93.13</v>
      </c>
      <c r="K1674" t="s">
        <v>6</v>
      </c>
    </row>
    <row r="1675" spans="1:11">
      <c r="A1675" t="s">
        <v>1710</v>
      </c>
      <c r="B1675">
        <v>482004</v>
      </c>
      <c r="C1675" s="2" t="str">
        <f>"1100375"</f>
        <v>1100375</v>
      </c>
      <c r="D1675" t="s">
        <v>1715</v>
      </c>
      <c r="E1675" t="s">
        <v>4</v>
      </c>
      <c r="F1675">
        <v>1.73</v>
      </c>
      <c r="H1675" t="s">
        <v>5</v>
      </c>
      <c r="I1675" s="1">
        <v>94.06</v>
      </c>
      <c r="J1675" s="1">
        <v>93.13</v>
      </c>
      <c r="K1675" t="s">
        <v>6</v>
      </c>
    </row>
    <row r="1676" spans="1:11">
      <c r="A1676" t="s">
        <v>1710</v>
      </c>
      <c r="B1676">
        <v>482032</v>
      </c>
      <c r="C1676" s="2" t="str">
        <f>"1100376"</f>
        <v>1100376</v>
      </c>
      <c r="D1676" t="s">
        <v>1716</v>
      </c>
      <c r="E1676" t="s">
        <v>4</v>
      </c>
      <c r="F1676">
        <v>1.73</v>
      </c>
      <c r="H1676" t="s">
        <v>5</v>
      </c>
      <c r="I1676" s="1">
        <v>94.06</v>
      </c>
      <c r="J1676" s="1">
        <v>93.13</v>
      </c>
      <c r="K1676" t="s">
        <v>6</v>
      </c>
    </row>
    <row r="1677" spans="1:11">
      <c r="A1677" t="s">
        <v>1710</v>
      </c>
      <c r="B1677">
        <v>482006</v>
      </c>
      <c r="C1677" s="2" t="str">
        <f>"1100377"</f>
        <v>1100377</v>
      </c>
      <c r="D1677" t="s">
        <v>1717</v>
      </c>
      <c r="E1677" t="s">
        <v>4</v>
      </c>
      <c r="F1677">
        <v>1.73</v>
      </c>
      <c r="H1677" t="s">
        <v>5</v>
      </c>
      <c r="I1677" s="1">
        <v>94.06</v>
      </c>
      <c r="J1677" s="1">
        <v>93.13</v>
      </c>
      <c r="K1677" t="s">
        <v>6</v>
      </c>
    </row>
    <row r="1678" spans="1:11">
      <c r="A1678" t="s">
        <v>1710</v>
      </c>
      <c r="B1678">
        <v>473286</v>
      </c>
      <c r="C1678" s="2" t="str">
        <f>"110044"</f>
        <v>110044</v>
      </c>
      <c r="D1678" t="s">
        <v>1718</v>
      </c>
      <c r="E1678" t="s">
        <v>4</v>
      </c>
      <c r="F1678">
        <v>2.2000000000000002</v>
      </c>
      <c r="H1678" t="s">
        <v>5</v>
      </c>
      <c r="I1678" s="1">
        <v>126.99</v>
      </c>
      <c r="J1678" s="1">
        <v>125.74</v>
      </c>
      <c r="K1678" t="s">
        <v>6</v>
      </c>
    </row>
    <row r="1679" spans="1:11">
      <c r="A1679" t="s">
        <v>1710</v>
      </c>
      <c r="B1679">
        <v>481993</v>
      </c>
      <c r="C1679" s="2" t="str">
        <f>"1100591"</f>
        <v>1100591</v>
      </c>
      <c r="D1679" t="s">
        <v>1719</v>
      </c>
      <c r="E1679" t="s">
        <v>4</v>
      </c>
      <c r="F1679">
        <v>2.64</v>
      </c>
      <c r="H1679" t="s">
        <v>5</v>
      </c>
      <c r="I1679" s="1">
        <v>47.11</v>
      </c>
      <c r="J1679" s="1">
        <v>46.64</v>
      </c>
      <c r="K1679" t="s">
        <v>6</v>
      </c>
    </row>
    <row r="1680" spans="1:11">
      <c r="A1680" t="s">
        <v>1710</v>
      </c>
      <c r="B1680">
        <v>481994</v>
      </c>
      <c r="C1680" s="2" t="str">
        <f>"1100592"</f>
        <v>1100592</v>
      </c>
      <c r="D1680" t="s">
        <v>1720</v>
      </c>
      <c r="E1680" t="s">
        <v>4</v>
      </c>
      <c r="F1680">
        <v>2.64</v>
      </c>
      <c r="H1680" t="s">
        <v>5</v>
      </c>
      <c r="I1680" s="1">
        <v>47.11</v>
      </c>
      <c r="J1680" s="1">
        <v>46.64</v>
      </c>
      <c r="K1680" t="s">
        <v>6</v>
      </c>
    </row>
    <row r="1681" spans="1:11">
      <c r="A1681" t="s">
        <v>1710</v>
      </c>
      <c r="B1681">
        <v>481995</v>
      </c>
      <c r="C1681" s="2" t="str">
        <f>"1100593"</f>
        <v>1100593</v>
      </c>
      <c r="D1681" t="s">
        <v>1721</v>
      </c>
      <c r="E1681" t="s">
        <v>4</v>
      </c>
      <c r="F1681">
        <v>2.64</v>
      </c>
      <c r="H1681" t="s">
        <v>5</v>
      </c>
      <c r="I1681" s="1">
        <v>47.11</v>
      </c>
      <c r="J1681" s="1">
        <v>46.64</v>
      </c>
      <c r="K1681" t="s">
        <v>6</v>
      </c>
    </row>
    <row r="1682" spans="1:11">
      <c r="A1682" t="s">
        <v>1710</v>
      </c>
      <c r="B1682">
        <v>481996</v>
      </c>
      <c r="C1682" s="2" t="str">
        <f>"1100594"</f>
        <v>1100594</v>
      </c>
      <c r="D1682" t="s">
        <v>1722</v>
      </c>
      <c r="E1682" t="s">
        <v>4</v>
      </c>
      <c r="F1682">
        <v>2.64</v>
      </c>
      <c r="H1682" t="s">
        <v>5</v>
      </c>
      <c r="I1682" s="1">
        <v>47.11</v>
      </c>
      <c r="J1682" s="1">
        <v>46.64</v>
      </c>
      <c r="K1682" t="s">
        <v>6</v>
      </c>
    </row>
    <row r="1683" spans="1:11">
      <c r="A1683" t="s">
        <v>1710</v>
      </c>
      <c r="B1683">
        <v>481997</v>
      </c>
      <c r="C1683" s="2" t="str">
        <f>"1100595"</f>
        <v>1100595</v>
      </c>
      <c r="D1683" t="s">
        <v>1723</v>
      </c>
      <c r="E1683" t="s">
        <v>4</v>
      </c>
      <c r="F1683">
        <v>2.64</v>
      </c>
      <c r="H1683" t="s">
        <v>5</v>
      </c>
      <c r="I1683" s="1">
        <v>47.11</v>
      </c>
      <c r="J1683" s="1">
        <v>46.64</v>
      </c>
      <c r="K1683" t="s">
        <v>6</v>
      </c>
    </row>
    <row r="1684" spans="1:11">
      <c r="A1684" t="s">
        <v>1710</v>
      </c>
      <c r="B1684">
        <v>481998</v>
      </c>
      <c r="C1684" s="2" t="str">
        <f>"1100596"</f>
        <v>1100596</v>
      </c>
      <c r="D1684" t="s">
        <v>1724</v>
      </c>
      <c r="E1684" t="s">
        <v>4</v>
      </c>
      <c r="F1684">
        <v>2.64</v>
      </c>
      <c r="H1684" t="s">
        <v>5</v>
      </c>
      <c r="I1684" s="1">
        <v>47.11</v>
      </c>
      <c r="J1684" s="1">
        <v>46.64</v>
      </c>
      <c r="K1684" t="s">
        <v>6</v>
      </c>
    </row>
    <row r="1685" spans="1:11">
      <c r="A1685" t="s">
        <v>1710</v>
      </c>
      <c r="B1685">
        <v>481999</v>
      </c>
      <c r="C1685" s="2" t="str">
        <f>"1100597"</f>
        <v>1100597</v>
      </c>
      <c r="D1685" t="s">
        <v>1725</v>
      </c>
      <c r="E1685" t="s">
        <v>4</v>
      </c>
      <c r="F1685">
        <v>2.64</v>
      </c>
      <c r="H1685" t="s">
        <v>5</v>
      </c>
      <c r="I1685" s="1">
        <v>47.11</v>
      </c>
      <c r="J1685" s="1">
        <v>46.64</v>
      </c>
      <c r="K1685" t="s">
        <v>6</v>
      </c>
    </row>
    <row r="1686" spans="1:11">
      <c r="A1686" t="s">
        <v>1710</v>
      </c>
      <c r="B1686">
        <v>482007</v>
      </c>
      <c r="C1686" s="2" t="str">
        <f>"1100601"</f>
        <v>1100601</v>
      </c>
      <c r="D1686" t="s">
        <v>1726</v>
      </c>
      <c r="E1686" t="s">
        <v>4</v>
      </c>
      <c r="F1686">
        <v>3.45</v>
      </c>
      <c r="H1686" t="s">
        <v>5</v>
      </c>
      <c r="I1686" s="1">
        <v>40.97</v>
      </c>
      <c r="J1686" s="1">
        <v>40.56</v>
      </c>
      <c r="K1686" t="s">
        <v>6</v>
      </c>
    </row>
    <row r="1687" spans="1:11">
      <c r="A1687" t="s">
        <v>1710</v>
      </c>
      <c r="B1687">
        <v>482008</v>
      </c>
      <c r="C1687" s="2" t="str">
        <f>"1100602"</f>
        <v>1100602</v>
      </c>
      <c r="D1687" t="s">
        <v>1727</v>
      </c>
      <c r="E1687" t="s">
        <v>4</v>
      </c>
      <c r="F1687">
        <v>3.45</v>
      </c>
      <c r="H1687" t="s">
        <v>5</v>
      </c>
      <c r="I1687" s="1">
        <v>40.97</v>
      </c>
      <c r="J1687" s="1">
        <v>40.56</v>
      </c>
      <c r="K1687" t="s">
        <v>6</v>
      </c>
    </row>
    <row r="1688" spans="1:11">
      <c r="A1688" t="s">
        <v>1710</v>
      </c>
      <c r="B1688">
        <v>482009</v>
      </c>
      <c r="C1688" s="2" t="str">
        <f>"1100603"</f>
        <v>1100603</v>
      </c>
      <c r="D1688" t="s">
        <v>1728</v>
      </c>
      <c r="E1688" t="s">
        <v>4</v>
      </c>
      <c r="F1688">
        <v>3.45</v>
      </c>
      <c r="H1688" t="s">
        <v>5</v>
      </c>
      <c r="I1688" s="1">
        <v>40.97</v>
      </c>
      <c r="J1688" s="1">
        <v>40.56</v>
      </c>
      <c r="K1688" t="s">
        <v>6</v>
      </c>
    </row>
    <row r="1689" spans="1:11">
      <c r="A1689" t="s">
        <v>1710</v>
      </c>
      <c r="B1689">
        <v>482010</v>
      </c>
      <c r="C1689" s="2" t="str">
        <f>"1100604"</f>
        <v>1100604</v>
      </c>
      <c r="D1689" t="s">
        <v>1729</v>
      </c>
      <c r="E1689" t="s">
        <v>4</v>
      </c>
      <c r="F1689">
        <v>3.45</v>
      </c>
      <c r="H1689" t="s">
        <v>5</v>
      </c>
      <c r="I1689" s="1">
        <v>40.97</v>
      </c>
      <c r="J1689" s="1">
        <v>40.56</v>
      </c>
      <c r="K1689" t="s">
        <v>6</v>
      </c>
    </row>
    <row r="1690" spans="1:11">
      <c r="A1690" t="s">
        <v>1710</v>
      </c>
      <c r="B1690">
        <v>482011</v>
      </c>
      <c r="C1690" s="2" t="str">
        <f>"1100605"</f>
        <v>1100605</v>
      </c>
      <c r="D1690" t="s">
        <v>1730</v>
      </c>
      <c r="E1690" t="s">
        <v>4</v>
      </c>
      <c r="F1690">
        <v>3.45</v>
      </c>
      <c r="H1690" t="s">
        <v>5</v>
      </c>
      <c r="I1690" s="1">
        <v>40.97</v>
      </c>
      <c r="J1690" s="1">
        <v>40.56</v>
      </c>
      <c r="K1690" t="s">
        <v>6</v>
      </c>
    </row>
    <row r="1691" spans="1:11">
      <c r="A1691" t="s">
        <v>1710</v>
      </c>
      <c r="B1691">
        <v>482012</v>
      </c>
      <c r="C1691" s="2" t="str">
        <f>"1100606"</f>
        <v>1100606</v>
      </c>
      <c r="D1691" t="s">
        <v>1731</v>
      </c>
      <c r="E1691" t="s">
        <v>4</v>
      </c>
      <c r="F1691">
        <v>3.45</v>
      </c>
      <c r="H1691" t="s">
        <v>5</v>
      </c>
      <c r="I1691" s="1">
        <v>40.97</v>
      </c>
      <c r="J1691" s="1">
        <v>40.56</v>
      </c>
      <c r="K1691" t="s">
        <v>6</v>
      </c>
    </row>
    <row r="1692" spans="1:11">
      <c r="A1692" t="s">
        <v>1710</v>
      </c>
      <c r="B1692">
        <v>482013</v>
      </c>
      <c r="C1692" s="2" t="str">
        <f>"1100607"</f>
        <v>1100607</v>
      </c>
      <c r="D1692" t="s">
        <v>1732</v>
      </c>
      <c r="E1692" t="s">
        <v>4</v>
      </c>
      <c r="F1692">
        <v>3.45</v>
      </c>
      <c r="H1692" t="s">
        <v>5</v>
      </c>
      <c r="I1692" s="1">
        <v>40.97</v>
      </c>
      <c r="J1692" s="1">
        <v>40.56</v>
      </c>
      <c r="K1692" t="s">
        <v>6</v>
      </c>
    </row>
    <row r="1693" spans="1:11">
      <c r="A1693" t="s">
        <v>1710</v>
      </c>
      <c r="B1693">
        <v>481951</v>
      </c>
      <c r="C1693" s="2" t="str">
        <f>"110084"</f>
        <v>110084</v>
      </c>
      <c r="D1693" t="s">
        <v>1733</v>
      </c>
      <c r="E1693" t="s">
        <v>4</v>
      </c>
      <c r="F1693">
        <v>2.93</v>
      </c>
      <c r="H1693" t="s">
        <v>5</v>
      </c>
      <c r="I1693" s="1">
        <v>154.41</v>
      </c>
      <c r="J1693" s="1">
        <v>152.88</v>
      </c>
      <c r="K1693" t="s">
        <v>6</v>
      </c>
    </row>
    <row r="1694" spans="1:11">
      <c r="A1694" t="s">
        <v>1710</v>
      </c>
      <c r="B1694">
        <v>482014</v>
      </c>
      <c r="C1694" s="2" t="str">
        <f>"110105"</f>
        <v>110105</v>
      </c>
      <c r="D1694" t="s">
        <v>1734</v>
      </c>
      <c r="E1694" t="s">
        <v>4</v>
      </c>
      <c r="F1694">
        <v>2.85</v>
      </c>
      <c r="H1694" t="s">
        <v>5</v>
      </c>
      <c r="I1694" s="1">
        <v>114.07</v>
      </c>
      <c r="J1694" s="1">
        <v>112.94</v>
      </c>
      <c r="K1694" t="s">
        <v>6</v>
      </c>
    </row>
    <row r="1695" spans="1:11">
      <c r="A1695" t="s">
        <v>1710</v>
      </c>
      <c r="B1695">
        <v>481952</v>
      </c>
      <c r="C1695" s="2" t="str">
        <f>"110116"</f>
        <v>110116</v>
      </c>
      <c r="D1695" t="s">
        <v>1735</v>
      </c>
      <c r="E1695" t="s">
        <v>4</v>
      </c>
      <c r="F1695">
        <v>2.33</v>
      </c>
      <c r="H1695" t="s">
        <v>5</v>
      </c>
      <c r="I1695" s="1">
        <v>138.81</v>
      </c>
      <c r="J1695" s="1">
        <v>137.44</v>
      </c>
      <c r="K1695" t="s">
        <v>6</v>
      </c>
    </row>
    <row r="1696" spans="1:11">
      <c r="A1696" t="s">
        <v>1710</v>
      </c>
      <c r="B1696">
        <v>480708</v>
      </c>
      <c r="C1696" s="2" t="str">
        <f>"110214"</f>
        <v>110214</v>
      </c>
      <c r="D1696" t="s">
        <v>1736</v>
      </c>
      <c r="E1696" t="s">
        <v>4</v>
      </c>
      <c r="F1696">
        <v>13.8</v>
      </c>
      <c r="H1696" t="s">
        <v>5</v>
      </c>
      <c r="I1696" s="1">
        <v>57.51</v>
      </c>
      <c r="J1696" s="1">
        <v>56.94</v>
      </c>
      <c r="K1696" t="s">
        <v>6</v>
      </c>
    </row>
    <row r="1697" spans="1:11">
      <c r="A1697" t="s">
        <v>1710</v>
      </c>
      <c r="B1697">
        <v>481981</v>
      </c>
      <c r="C1697" s="2" t="str">
        <f>"1103411"</f>
        <v>1103411</v>
      </c>
      <c r="D1697" t="s">
        <v>1737</v>
      </c>
      <c r="E1697" t="s">
        <v>4</v>
      </c>
      <c r="F1697">
        <v>4.4800000000000004</v>
      </c>
      <c r="H1697" t="s">
        <v>5</v>
      </c>
      <c r="I1697" s="1">
        <v>45.06</v>
      </c>
      <c r="J1697" s="1">
        <v>44.62</v>
      </c>
      <c r="K1697" t="s">
        <v>6</v>
      </c>
    </row>
    <row r="1698" spans="1:11">
      <c r="A1698" t="s">
        <v>1710</v>
      </c>
      <c r="B1698">
        <v>481983</v>
      </c>
      <c r="C1698" s="2" t="str">
        <f>"1103412"</f>
        <v>1103412</v>
      </c>
      <c r="D1698" t="s">
        <v>1738</v>
      </c>
      <c r="E1698" t="s">
        <v>4</v>
      </c>
      <c r="F1698">
        <v>3.45</v>
      </c>
      <c r="H1698" t="s">
        <v>5</v>
      </c>
      <c r="I1698" s="1">
        <v>45.06</v>
      </c>
      <c r="J1698" s="1">
        <v>44.62</v>
      </c>
      <c r="K1698" t="s">
        <v>6</v>
      </c>
    </row>
    <row r="1699" spans="1:11">
      <c r="A1699" t="s">
        <v>1710</v>
      </c>
      <c r="B1699">
        <v>481986</v>
      </c>
      <c r="C1699" s="2" t="str">
        <f>"1103413"</f>
        <v>1103413</v>
      </c>
      <c r="D1699" t="s">
        <v>1739</v>
      </c>
      <c r="E1699" t="s">
        <v>4</v>
      </c>
      <c r="F1699">
        <v>3.45</v>
      </c>
      <c r="H1699" t="s">
        <v>5</v>
      </c>
      <c r="I1699" s="1">
        <v>45.06</v>
      </c>
      <c r="J1699" s="1">
        <v>44.62</v>
      </c>
      <c r="K1699" t="s">
        <v>6</v>
      </c>
    </row>
    <row r="1700" spans="1:11">
      <c r="A1700" t="s">
        <v>1710</v>
      </c>
      <c r="B1700">
        <v>481988</v>
      </c>
      <c r="C1700" s="2" t="str">
        <f>"1103414"</f>
        <v>1103414</v>
      </c>
      <c r="D1700" t="s">
        <v>1740</v>
      </c>
      <c r="E1700" t="s">
        <v>4</v>
      </c>
      <c r="F1700">
        <v>3.45</v>
      </c>
      <c r="H1700" t="s">
        <v>5</v>
      </c>
      <c r="I1700" s="1">
        <v>45.06</v>
      </c>
      <c r="J1700" s="1">
        <v>44.62</v>
      </c>
      <c r="K1700" t="s">
        <v>6</v>
      </c>
    </row>
    <row r="1701" spans="1:11">
      <c r="A1701" t="s">
        <v>1710</v>
      </c>
      <c r="B1701">
        <v>481989</v>
      </c>
      <c r="C1701" s="2" t="str">
        <f>"1103415"</f>
        <v>1103415</v>
      </c>
      <c r="D1701" t="s">
        <v>1741</v>
      </c>
      <c r="E1701" t="s">
        <v>4</v>
      </c>
      <c r="F1701">
        <v>3.45</v>
      </c>
      <c r="H1701" t="s">
        <v>5</v>
      </c>
      <c r="I1701" s="1">
        <v>45.06</v>
      </c>
      <c r="J1701" s="1">
        <v>44.62</v>
      </c>
      <c r="K1701" t="s">
        <v>6</v>
      </c>
    </row>
    <row r="1702" spans="1:11">
      <c r="A1702" t="s">
        <v>1710</v>
      </c>
      <c r="B1702">
        <v>481991</v>
      </c>
      <c r="C1702" s="2" t="str">
        <f>"1103416"</f>
        <v>1103416</v>
      </c>
      <c r="D1702" t="s">
        <v>1742</v>
      </c>
      <c r="E1702" t="s">
        <v>4</v>
      </c>
      <c r="F1702">
        <v>3.45</v>
      </c>
      <c r="H1702" t="s">
        <v>5</v>
      </c>
      <c r="I1702" s="1">
        <v>45.06</v>
      </c>
      <c r="J1702" s="1">
        <v>44.62</v>
      </c>
      <c r="K1702" t="s">
        <v>6</v>
      </c>
    </row>
    <row r="1703" spans="1:11">
      <c r="A1703" t="s">
        <v>1710</v>
      </c>
      <c r="B1703">
        <v>481992</v>
      </c>
      <c r="C1703" s="2" t="str">
        <f>"1103417"</f>
        <v>1103417</v>
      </c>
      <c r="D1703" t="s">
        <v>1743</v>
      </c>
      <c r="E1703" t="s">
        <v>4</v>
      </c>
      <c r="F1703">
        <v>3.45</v>
      </c>
      <c r="H1703" t="s">
        <v>5</v>
      </c>
      <c r="I1703" s="1">
        <v>45.06</v>
      </c>
      <c r="J1703" s="1">
        <v>44.62</v>
      </c>
      <c r="K1703" t="s">
        <v>6</v>
      </c>
    </row>
    <row r="1704" spans="1:11">
      <c r="A1704" t="s">
        <v>1710</v>
      </c>
      <c r="B1704">
        <v>453578</v>
      </c>
      <c r="C1704" s="2" t="str">
        <f>"1104091"</f>
        <v>1104091</v>
      </c>
      <c r="D1704" t="s">
        <v>1744</v>
      </c>
      <c r="E1704" t="s">
        <v>4</v>
      </c>
      <c r="F1704">
        <v>6.65</v>
      </c>
      <c r="H1704" t="s">
        <v>5</v>
      </c>
      <c r="I1704" s="1">
        <v>18.38</v>
      </c>
      <c r="J1704" s="1">
        <v>18.2</v>
      </c>
      <c r="K1704" t="s">
        <v>6</v>
      </c>
    </row>
    <row r="1705" spans="1:11">
      <c r="A1705" t="s">
        <v>1710</v>
      </c>
      <c r="B1705">
        <v>453579</v>
      </c>
      <c r="C1705" s="2" t="str">
        <f>"1104092"</f>
        <v>1104092</v>
      </c>
      <c r="D1705" t="s">
        <v>1745</v>
      </c>
      <c r="E1705" t="s">
        <v>4</v>
      </c>
      <c r="F1705">
        <v>6.65</v>
      </c>
      <c r="H1705" t="s">
        <v>5</v>
      </c>
      <c r="I1705" s="1">
        <v>18.38</v>
      </c>
      <c r="J1705" s="1">
        <v>18.2</v>
      </c>
      <c r="K1705" t="s">
        <v>6</v>
      </c>
    </row>
    <row r="1706" spans="1:11">
      <c r="A1706" t="s">
        <v>1710</v>
      </c>
      <c r="B1706">
        <v>453580</v>
      </c>
      <c r="C1706" s="2" t="str">
        <f>"1104093"</f>
        <v>1104093</v>
      </c>
      <c r="D1706" t="s">
        <v>1746</v>
      </c>
      <c r="E1706" t="s">
        <v>4</v>
      </c>
      <c r="F1706">
        <v>6.65</v>
      </c>
      <c r="H1706" t="s">
        <v>5</v>
      </c>
      <c r="I1706" s="1">
        <v>18.38</v>
      </c>
      <c r="J1706" s="1">
        <v>18.2</v>
      </c>
      <c r="K1706" t="s">
        <v>6</v>
      </c>
    </row>
    <row r="1707" spans="1:11">
      <c r="A1707" t="s">
        <v>1710</v>
      </c>
      <c r="B1707">
        <v>453583</v>
      </c>
      <c r="C1707" s="2" t="str">
        <f>"1104094"</f>
        <v>1104094</v>
      </c>
      <c r="D1707" t="s">
        <v>1747</v>
      </c>
      <c r="E1707" t="s">
        <v>4</v>
      </c>
      <c r="F1707">
        <v>6.65</v>
      </c>
      <c r="H1707" t="s">
        <v>5</v>
      </c>
      <c r="I1707" s="1">
        <v>18.38</v>
      </c>
      <c r="J1707" s="1">
        <v>18.2</v>
      </c>
      <c r="K1707" t="s">
        <v>6</v>
      </c>
    </row>
    <row r="1708" spans="1:11">
      <c r="A1708" t="s">
        <v>1710</v>
      </c>
      <c r="B1708">
        <v>453584</v>
      </c>
      <c r="C1708" s="2" t="str">
        <f>"1104095"</f>
        <v>1104095</v>
      </c>
      <c r="D1708" t="s">
        <v>1748</v>
      </c>
      <c r="E1708" t="s">
        <v>4</v>
      </c>
      <c r="F1708">
        <v>6.65</v>
      </c>
      <c r="H1708" t="s">
        <v>5</v>
      </c>
      <c r="I1708" s="1">
        <v>18.38</v>
      </c>
      <c r="J1708" s="1">
        <v>18.2</v>
      </c>
      <c r="K1708" t="s">
        <v>6</v>
      </c>
    </row>
    <row r="1709" spans="1:11">
      <c r="A1709" t="s">
        <v>1710</v>
      </c>
      <c r="B1709">
        <v>453585</v>
      </c>
      <c r="C1709" s="2" t="str">
        <f>"1104096"</f>
        <v>1104096</v>
      </c>
      <c r="D1709" t="s">
        <v>1749</v>
      </c>
      <c r="E1709" t="s">
        <v>4</v>
      </c>
      <c r="F1709">
        <v>6.65</v>
      </c>
      <c r="H1709" t="s">
        <v>5</v>
      </c>
      <c r="I1709" s="1">
        <v>18.38</v>
      </c>
      <c r="J1709" s="1">
        <v>18.2</v>
      </c>
      <c r="K1709" t="s">
        <v>6</v>
      </c>
    </row>
    <row r="1710" spans="1:11">
      <c r="A1710" t="s">
        <v>1710</v>
      </c>
      <c r="B1710">
        <v>453586</v>
      </c>
      <c r="C1710" s="2" t="str">
        <f>"1104097"</f>
        <v>1104097</v>
      </c>
      <c r="D1710" t="s">
        <v>1750</v>
      </c>
      <c r="E1710" t="s">
        <v>4</v>
      </c>
      <c r="F1710">
        <v>6.65</v>
      </c>
      <c r="H1710" t="s">
        <v>5</v>
      </c>
      <c r="I1710" s="1">
        <v>18.38</v>
      </c>
      <c r="J1710" s="1">
        <v>18.2</v>
      </c>
      <c r="K1710" t="s">
        <v>6</v>
      </c>
    </row>
    <row r="1711" spans="1:11">
      <c r="A1711" t="s">
        <v>1710</v>
      </c>
      <c r="B1711">
        <v>453573</v>
      </c>
      <c r="C1711" s="2" t="str">
        <f>"110418"</f>
        <v>110418</v>
      </c>
      <c r="D1711" t="s">
        <v>1751</v>
      </c>
      <c r="E1711" t="s">
        <v>4</v>
      </c>
      <c r="F1711">
        <v>6.65</v>
      </c>
      <c r="H1711" t="s">
        <v>5</v>
      </c>
      <c r="I1711" s="1">
        <v>18.38</v>
      </c>
      <c r="J1711" s="1">
        <v>18.2</v>
      </c>
      <c r="K1711" t="s">
        <v>6</v>
      </c>
    </row>
    <row r="1712" spans="1:11">
      <c r="A1712" t="s">
        <v>1710</v>
      </c>
      <c r="B1712">
        <v>458044</v>
      </c>
      <c r="C1712" s="2" t="str">
        <f>"110422"</f>
        <v>110422</v>
      </c>
      <c r="D1712" t="s">
        <v>1752</v>
      </c>
      <c r="E1712" t="s">
        <v>4</v>
      </c>
      <c r="F1712">
        <v>1.1200000000000001</v>
      </c>
      <c r="H1712" t="s">
        <v>5</v>
      </c>
      <c r="I1712" s="1">
        <v>18.38</v>
      </c>
      <c r="J1712" s="1">
        <v>18.2</v>
      </c>
      <c r="K1712" t="s">
        <v>6</v>
      </c>
    </row>
    <row r="1713" spans="1:12">
      <c r="A1713" t="s">
        <v>1710</v>
      </c>
      <c r="B1713">
        <v>453636</v>
      </c>
      <c r="C1713" s="2" t="str">
        <f>"110428"</f>
        <v>110428</v>
      </c>
      <c r="D1713" t="s">
        <v>1753</v>
      </c>
      <c r="E1713" t="s">
        <v>4</v>
      </c>
      <c r="F1713">
        <v>6.65</v>
      </c>
      <c r="H1713" t="s">
        <v>5</v>
      </c>
      <c r="I1713" s="1">
        <v>18.38</v>
      </c>
      <c r="J1713" s="1">
        <v>18.2</v>
      </c>
      <c r="K1713" t="s">
        <v>6</v>
      </c>
    </row>
    <row r="1714" spans="1:12">
      <c r="A1714" t="s">
        <v>1710</v>
      </c>
      <c r="B1714">
        <v>453631</v>
      </c>
      <c r="C1714" s="2" t="str">
        <f>"110493"</f>
        <v>110493</v>
      </c>
      <c r="D1714" t="s">
        <v>1754</v>
      </c>
      <c r="E1714" t="s">
        <v>4</v>
      </c>
      <c r="F1714">
        <v>1.18</v>
      </c>
      <c r="H1714" t="s">
        <v>5</v>
      </c>
      <c r="I1714" s="1">
        <v>30.37</v>
      </c>
      <c r="J1714" s="1">
        <v>30.07</v>
      </c>
      <c r="K1714" t="s">
        <v>6</v>
      </c>
    </row>
    <row r="1715" spans="1:12">
      <c r="A1715" t="s">
        <v>1710</v>
      </c>
      <c r="B1715">
        <v>453607</v>
      </c>
      <c r="C1715" s="2" t="str">
        <f>"110501"</f>
        <v>110501</v>
      </c>
      <c r="D1715" t="s">
        <v>1755</v>
      </c>
      <c r="E1715" t="s">
        <v>4</v>
      </c>
      <c r="F1715">
        <v>1.21</v>
      </c>
      <c r="H1715" t="s">
        <v>5</v>
      </c>
      <c r="I1715" s="1">
        <v>18.21</v>
      </c>
      <c r="J1715" s="1">
        <v>18.03</v>
      </c>
      <c r="K1715" t="s">
        <v>6</v>
      </c>
    </row>
    <row r="1716" spans="1:12">
      <c r="A1716" t="s">
        <v>1710</v>
      </c>
      <c r="B1716">
        <v>453635</v>
      </c>
      <c r="C1716" s="2" t="str">
        <f>"110767"</f>
        <v>110767</v>
      </c>
      <c r="D1716" t="s">
        <v>1756</v>
      </c>
      <c r="E1716" t="s">
        <v>4</v>
      </c>
      <c r="F1716">
        <v>0.96</v>
      </c>
      <c r="H1716" t="s">
        <v>5</v>
      </c>
      <c r="I1716" s="1">
        <v>95.61</v>
      </c>
      <c r="J1716" s="1">
        <v>94.67</v>
      </c>
      <c r="K1716" t="s">
        <v>6</v>
      </c>
    </row>
    <row r="1717" spans="1:12">
      <c r="A1717" t="s">
        <v>1710</v>
      </c>
      <c r="B1717">
        <v>453616</v>
      </c>
      <c r="C1717" s="2" t="str">
        <f>"110806"</f>
        <v>110806</v>
      </c>
      <c r="D1717" t="s">
        <v>1754</v>
      </c>
      <c r="E1717" t="s">
        <v>4</v>
      </c>
      <c r="F1717">
        <v>1.54</v>
      </c>
      <c r="H1717" t="s">
        <v>5</v>
      </c>
      <c r="I1717" s="1">
        <v>36.44</v>
      </c>
      <c r="J1717" s="1">
        <v>36.08</v>
      </c>
      <c r="K1717" t="s">
        <v>6</v>
      </c>
    </row>
    <row r="1718" spans="1:12">
      <c r="A1718" t="s">
        <v>1710</v>
      </c>
      <c r="B1718">
        <v>453638</v>
      </c>
      <c r="C1718" s="2" t="str">
        <f>"111181"</f>
        <v>111181</v>
      </c>
      <c r="D1718" t="s">
        <v>1757</v>
      </c>
      <c r="E1718" t="s">
        <v>4</v>
      </c>
      <c r="F1718">
        <v>7.88</v>
      </c>
      <c r="H1718" t="s">
        <v>5</v>
      </c>
      <c r="I1718" s="1">
        <v>61.74</v>
      </c>
      <c r="J1718" s="1">
        <v>61.13</v>
      </c>
      <c r="K1718" t="s">
        <v>6</v>
      </c>
    </row>
    <row r="1719" spans="1:12">
      <c r="A1719" t="s">
        <v>1710</v>
      </c>
      <c r="B1719">
        <v>453637</v>
      </c>
      <c r="C1719" s="2" t="str">
        <f>"111183"</f>
        <v>111183</v>
      </c>
      <c r="D1719" t="s">
        <v>1758</v>
      </c>
      <c r="E1719" t="s">
        <v>4</v>
      </c>
      <c r="F1719">
        <v>15.84</v>
      </c>
      <c r="H1719" t="s">
        <v>5</v>
      </c>
      <c r="I1719" s="1">
        <v>33.68</v>
      </c>
      <c r="J1719" s="1">
        <v>33.35</v>
      </c>
      <c r="K1719" t="s">
        <v>6</v>
      </c>
    </row>
    <row r="1720" spans="1:12">
      <c r="A1720" t="s">
        <v>1710</v>
      </c>
      <c r="B1720">
        <v>457993</v>
      </c>
      <c r="C1720" s="2" t="str">
        <f>"1122131"</f>
        <v>1122131</v>
      </c>
      <c r="D1720" t="s">
        <v>1759</v>
      </c>
      <c r="E1720" t="s">
        <v>4</v>
      </c>
      <c r="F1720">
        <v>7.96</v>
      </c>
      <c r="H1720" t="s">
        <v>5</v>
      </c>
      <c r="I1720" s="1">
        <v>118.64</v>
      </c>
      <c r="J1720" s="1">
        <v>117.47</v>
      </c>
      <c r="K1720" t="s">
        <v>6</v>
      </c>
    </row>
    <row r="1721" spans="1:12">
      <c r="A1721" t="s">
        <v>1710</v>
      </c>
      <c r="B1721">
        <v>457996</v>
      </c>
      <c r="C1721" s="2" t="str">
        <f>"1122132"</f>
        <v>1122132</v>
      </c>
      <c r="D1721" t="s">
        <v>1760</v>
      </c>
      <c r="E1721" t="s">
        <v>4</v>
      </c>
      <c r="F1721">
        <v>7.96</v>
      </c>
      <c r="H1721" t="s">
        <v>5</v>
      </c>
      <c r="I1721" s="1">
        <v>118.64</v>
      </c>
      <c r="J1721" s="1">
        <v>117.47</v>
      </c>
      <c r="K1721" t="s">
        <v>6</v>
      </c>
    </row>
    <row r="1722" spans="1:12">
      <c r="A1722" t="s">
        <v>1710</v>
      </c>
      <c r="B1722">
        <v>457997</v>
      </c>
      <c r="C1722" s="2" t="str">
        <f>"1122133"</f>
        <v>1122133</v>
      </c>
      <c r="D1722" t="s">
        <v>1761</v>
      </c>
      <c r="E1722" t="s">
        <v>4</v>
      </c>
      <c r="F1722">
        <v>7.96</v>
      </c>
      <c r="H1722" t="s">
        <v>5</v>
      </c>
      <c r="I1722" s="1">
        <v>118.64</v>
      </c>
      <c r="J1722" s="1">
        <v>117.47</v>
      </c>
      <c r="K1722" t="s">
        <v>6</v>
      </c>
    </row>
    <row r="1723" spans="1:12">
      <c r="A1723" t="s">
        <v>1710</v>
      </c>
      <c r="B1723">
        <v>458000</v>
      </c>
      <c r="C1723" s="2" t="str">
        <f>"1122134"</f>
        <v>1122134</v>
      </c>
      <c r="D1723" t="s">
        <v>1762</v>
      </c>
      <c r="E1723" t="s">
        <v>4</v>
      </c>
      <c r="F1723">
        <v>7.96</v>
      </c>
      <c r="H1723" t="s">
        <v>5</v>
      </c>
      <c r="I1723" s="1">
        <v>118.64</v>
      </c>
      <c r="J1723" s="1">
        <v>117.47</v>
      </c>
      <c r="K1723" t="s">
        <v>6</v>
      </c>
    </row>
    <row r="1724" spans="1:12">
      <c r="A1724" t="s">
        <v>1710</v>
      </c>
      <c r="B1724">
        <v>458002</v>
      </c>
      <c r="C1724" s="2" t="str">
        <f>"1122135"</f>
        <v>1122135</v>
      </c>
      <c r="D1724" t="s">
        <v>1763</v>
      </c>
      <c r="E1724" t="s">
        <v>4</v>
      </c>
      <c r="F1724">
        <v>7.96</v>
      </c>
      <c r="H1724" t="s">
        <v>5</v>
      </c>
      <c r="I1724" s="1">
        <v>118.64</v>
      </c>
      <c r="J1724" s="1">
        <v>117.47</v>
      </c>
      <c r="K1724" t="s">
        <v>6</v>
      </c>
    </row>
    <row r="1725" spans="1:12">
      <c r="A1725" t="s">
        <v>1710</v>
      </c>
      <c r="B1725">
        <v>458005</v>
      </c>
      <c r="C1725" s="2" t="str">
        <f>"1122136"</f>
        <v>1122136</v>
      </c>
      <c r="D1725" t="s">
        <v>1764</v>
      </c>
      <c r="E1725" t="s">
        <v>4</v>
      </c>
      <c r="F1725">
        <v>7.96</v>
      </c>
      <c r="H1725" t="s">
        <v>5</v>
      </c>
      <c r="I1725" s="1">
        <v>118.64</v>
      </c>
      <c r="J1725" s="1">
        <v>117.47</v>
      </c>
      <c r="K1725" t="s">
        <v>6</v>
      </c>
    </row>
    <row r="1726" spans="1:12">
      <c r="A1726" t="s">
        <v>1710</v>
      </c>
      <c r="B1726">
        <v>458007</v>
      </c>
      <c r="C1726" s="2" t="str">
        <f>"1122137"</f>
        <v>1122137</v>
      </c>
      <c r="D1726" t="s">
        <v>1765</v>
      </c>
      <c r="E1726" t="s">
        <v>4</v>
      </c>
      <c r="F1726">
        <v>7.96</v>
      </c>
      <c r="H1726" t="s">
        <v>5</v>
      </c>
      <c r="I1726" s="1">
        <v>118.64</v>
      </c>
      <c r="J1726" s="1">
        <v>117.47</v>
      </c>
      <c r="K1726" t="s">
        <v>6</v>
      </c>
    </row>
    <row r="1727" spans="1:12">
      <c r="A1727" t="s">
        <v>1710</v>
      </c>
      <c r="B1727">
        <v>492530</v>
      </c>
      <c r="C1727" s="2" t="str">
        <f>"112793"</f>
        <v>112793</v>
      </c>
      <c r="D1727" t="s">
        <v>1766</v>
      </c>
      <c r="E1727" t="s">
        <v>4</v>
      </c>
      <c r="F1727">
        <v>46.24</v>
      </c>
      <c r="G1727">
        <v>5.78</v>
      </c>
      <c r="H1727" t="s">
        <v>1456</v>
      </c>
      <c r="I1727" s="1">
        <v>22.26</v>
      </c>
      <c r="J1727" s="1">
        <v>22.04</v>
      </c>
      <c r="K1727" t="s">
        <v>1767</v>
      </c>
      <c r="L1727" s="1">
        <v>23.14</v>
      </c>
    </row>
    <row r="1728" spans="1:12">
      <c r="A1728" t="s">
        <v>1710</v>
      </c>
      <c r="B1728">
        <v>470292</v>
      </c>
      <c r="C1728" s="2" t="str">
        <f>"112794"</f>
        <v>112794</v>
      </c>
      <c r="D1728" t="s">
        <v>1768</v>
      </c>
      <c r="E1728" t="s">
        <v>4</v>
      </c>
      <c r="F1728">
        <v>1.73</v>
      </c>
      <c r="H1728" t="s">
        <v>5</v>
      </c>
      <c r="I1728" s="1">
        <v>25.87</v>
      </c>
      <c r="J1728" s="1">
        <v>25.61</v>
      </c>
      <c r="K1728" t="s">
        <v>6</v>
      </c>
    </row>
    <row r="1729" spans="1:11">
      <c r="A1729" t="s">
        <v>1710</v>
      </c>
      <c r="B1729">
        <v>459732</v>
      </c>
      <c r="C1729" s="2" t="str">
        <f>"113419"</f>
        <v>113419</v>
      </c>
      <c r="D1729" t="s">
        <v>1769</v>
      </c>
      <c r="E1729" t="s">
        <v>4</v>
      </c>
      <c r="F1729">
        <v>5.78</v>
      </c>
      <c r="H1729" t="s">
        <v>5</v>
      </c>
      <c r="I1729" s="1">
        <v>84.64</v>
      </c>
      <c r="J1729" s="1">
        <v>83.8</v>
      </c>
      <c r="K1729" t="s">
        <v>6</v>
      </c>
    </row>
    <row r="1730" spans="1:11">
      <c r="A1730" t="s">
        <v>1710</v>
      </c>
      <c r="B1730">
        <v>481566</v>
      </c>
      <c r="C1730" s="2" t="str">
        <f>"113720"</f>
        <v>113720</v>
      </c>
      <c r="D1730" t="s">
        <v>1770</v>
      </c>
      <c r="E1730" t="s">
        <v>4</v>
      </c>
      <c r="F1730">
        <v>6.95</v>
      </c>
      <c r="H1730" t="s">
        <v>5</v>
      </c>
      <c r="I1730" s="1">
        <v>47.01</v>
      </c>
      <c r="J1730" s="1">
        <v>46.54</v>
      </c>
      <c r="K1730" t="s">
        <v>6</v>
      </c>
    </row>
    <row r="1731" spans="1:11">
      <c r="A1731" t="s">
        <v>1710</v>
      </c>
      <c r="B1731">
        <v>482625</v>
      </c>
      <c r="C1731" s="2" t="str">
        <f>"113786"</f>
        <v>113786</v>
      </c>
      <c r="D1731" t="s">
        <v>1771</v>
      </c>
      <c r="E1731" t="s">
        <v>4</v>
      </c>
      <c r="F1731">
        <v>1.4</v>
      </c>
      <c r="H1731" t="s">
        <v>5</v>
      </c>
      <c r="I1731" s="1">
        <v>65.849999999999994</v>
      </c>
      <c r="J1731" s="1">
        <v>65.2</v>
      </c>
      <c r="K1731" t="s">
        <v>6</v>
      </c>
    </row>
    <row r="1732" spans="1:11">
      <c r="A1732" t="s">
        <v>1710</v>
      </c>
      <c r="B1732">
        <v>456679</v>
      </c>
      <c r="C1732" s="2" t="str">
        <f>"AC-G4797BK"</f>
        <v>AC-G4797BK</v>
      </c>
      <c r="D1732" t="s">
        <v>1772</v>
      </c>
      <c r="E1732" t="s">
        <v>4</v>
      </c>
      <c r="F1732">
        <v>19</v>
      </c>
      <c r="H1732" t="s">
        <v>5</v>
      </c>
      <c r="I1732" s="1">
        <v>85.21</v>
      </c>
      <c r="J1732" s="1">
        <v>84.37</v>
      </c>
      <c r="K1732" t="s">
        <v>6</v>
      </c>
    </row>
    <row r="1733" spans="1:11">
      <c r="A1733" t="s">
        <v>1710</v>
      </c>
      <c r="B1733">
        <v>456167</v>
      </c>
      <c r="C1733" s="2" t="str">
        <f>"ACR-101"</f>
        <v>ACR-101</v>
      </c>
      <c r="D1733" t="s">
        <v>1773</v>
      </c>
      <c r="E1733" t="s">
        <v>4</v>
      </c>
      <c r="F1733">
        <v>21</v>
      </c>
      <c r="H1733" t="s">
        <v>5</v>
      </c>
      <c r="I1733" s="1">
        <v>39.9</v>
      </c>
      <c r="J1733" s="1">
        <v>39.51</v>
      </c>
      <c r="K1733" t="s">
        <v>6</v>
      </c>
    </row>
    <row r="1734" spans="1:11">
      <c r="A1734" t="s">
        <v>1710</v>
      </c>
      <c r="B1734">
        <v>452556</v>
      </c>
      <c r="C1734" s="2" t="str">
        <f>"ACR-11ASP"</f>
        <v>ACR-11ASP</v>
      </c>
      <c r="D1734" t="s">
        <v>1774</v>
      </c>
      <c r="E1734" t="s">
        <v>4</v>
      </c>
      <c r="F1734">
        <v>16</v>
      </c>
      <c r="H1734" t="s">
        <v>5</v>
      </c>
      <c r="I1734" s="1">
        <v>79.400000000000006</v>
      </c>
      <c r="J1734" s="1">
        <v>78.61</v>
      </c>
      <c r="K1734" t="s">
        <v>6</v>
      </c>
    </row>
    <row r="1735" spans="1:11">
      <c r="A1735" t="s">
        <v>1710</v>
      </c>
      <c r="B1735">
        <v>456232</v>
      </c>
      <c r="C1735" s="2" t="str">
        <f>"ACR-122550"</f>
        <v>ACR-122550</v>
      </c>
      <c r="D1735" t="s">
        <v>1775</v>
      </c>
      <c r="E1735" t="s">
        <v>4</v>
      </c>
      <c r="F1735">
        <v>19</v>
      </c>
      <c r="H1735" t="s">
        <v>5</v>
      </c>
      <c r="I1735" s="1">
        <v>28.23</v>
      </c>
      <c r="J1735" s="1">
        <v>27.95</v>
      </c>
      <c r="K1735" t="s">
        <v>6</v>
      </c>
    </row>
    <row r="1736" spans="1:11">
      <c r="A1736" t="s">
        <v>1710</v>
      </c>
      <c r="B1736">
        <v>453564</v>
      </c>
      <c r="C1736" s="2" t="str">
        <f>"ACR-12A"</f>
        <v>ACR-12A</v>
      </c>
      <c r="D1736" t="s">
        <v>1776</v>
      </c>
      <c r="E1736" t="s">
        <v>4</v>
      </c>
      <c r="F1736">
        <v>21</v>
      </c>
      <c r="H1736" t="s">
        <v>5</v>
      </c>
      <c r="I1736" s="1">
        <v>29.21</v>
      </c>
      <c r="J1736" s="1">
        <v>28.93</v>
      </c>
      <c r="K1736" t="s">
        <v>6</v>
      </c>
    </row>
    <row r="1737" spans="1:11">
      <c r="A1737" t="s">
        <v>1710</v>
      </c>
      <c r="B1737">
        <v>452580</v>
      </c>
      <c r="C1737" s="2" t="str">
        <f>"ACR-1350SM"</f>
        <v>ACR-1350SM</v>
      </c>
      <c r="D1737" t="s">
        <v>1777</v>
      </c>
      <c r="E1737" t="s">
        <v>4</v>
      </c>
      <c r="F1737">
        <v>15</v>
      </c>
      <c r="H1737" t="s">
        <v>5</v>
      </c>
      <c r="I1737" s="1">
        <v>25.14</v>
      </c>
      <c r="J1737" s="1">
        <v>24.9</v>
      </c>
      <c r="K1737" t="s">
        <v>6</v>
      </c>
    </row>
    <row r="1738" spans="1:11">
      <c r="A1738" t="s">
        <v>1710</v>
      </c>
      <c r="B1738">
        <v>452575</v>
      </c>
      <c r="C1738" s="2" t="str">
        <f>"ACR-14450"</f>
        <v>ACR-14450</v>
      </c>
      <c r="D1738" t="s">
        <v>1778</v>
      </c>
      <c r="E1738" t="s">
        <v>4</v>
      </c>
      <c r="F1738">
        <v>15</v>
      </c>
      <c r="H1738" t="s">
        <v>5</v>
      </c>
      <c r="I1738" s="1">
        <v>23.62</v>
      </c>
      <c r="J1738" s="1">
        <v>23.39</v>
      </c>
      <c r="K1738" t="s">
        <v>6</v>
      </c>
    </row>
    <row r="1739" spans="1:11">
      <c r="A1739" t="s">
        <v>1710</v>
      </c>
      <c r="B1739">
        <v>457832</v>
      </c>
      <c r="C1739" s="2" t="str">
        <f>"ACR-250"</f>
        <v>ACR-250</v>
      </c>
      <c r="D1739" t="s">
        <v>1779</v>
      </c>
      <c r="E1739" t="s">
        <v>4</v>
      </c>
      <c r="F1739">
        <v>22</v>
      </c>
      <c r="H1739" t="s">
        <v>5</v>
      </c>
      <c r="I1739" s="1">
        <v>47.1</v>
      </c>
      <c r="J1739" s="1">
        <v>46.63</v>
      </c>
      <c r="K1739" t="s">
        <v>6</v>
      </c>
    </row>
    <row r="1740" spans="1:11">
      <c r="A1740" t="s">
        <v>1710</v>
      </c>
      <c r="B1740">
        <v>452577</v>
      </c>
      <c r="C1740" s="2" t="str">
        <f>"ACR-431330"</f>
        <v>ACR-431330</v>
      </c>
      <c r="D1740" t="s">
        <v>1780</v>
      </c>
      <c r="E1740" t="s">
        <v>4</v>
      </c>
      <c r="F1740">
        <v>18</v>
      </c>
      <c r="H1740" t="s">
        <v>5</v>
      </c>
      <c r="I1740" s="1">
        <v>49.71</v>
      </c>
      <c r="J1740" s="1">
        <v>49.22</v>
      </c>
      <c r="K1740" t="s">
        <v>6</v>
      </c>
    </row>
    <row r="1741" spans="1:11">
      <c r="A1741" t="s">
        <v>1710</v>
      </c>
      <c r="B1741">
        <v>452560</v>
      </c>
      <c r="C1741" s="2" t="str">
        <f>"ACR-G3516"</f>
        <v>ACR-G3516</v>
      </c>
      <c r="D1741" t="s">
        <v>1781</v>
      </c>
      <c r="E1741" t="s">
        <v>4</v>
      </c>
      <c r="F1741">
        <v>11</v>
      </c>
      <c r="H1741" t="s">
        <v>5</v>
      </c>
      <c r="I1741" s="1">
        <v>40.22</v>
      </c>
      <c r="J1741" s="1">
        <v>39.82</v>
      </c>
      <c r="K1741" t="s">
        <v>6</v>
      </c>
    </row>
    <row r="1742" spans="1:11">
      <c r="A1742" t="s">
        <v>1710</v>
      </c>
      <c r="B1742">
        <v>452553</v>
      </c>
      <c r="C1742" s="2" t="str">
        <f>"ACR-G3616"</f>
        <v>ACR-G3616</v>
      </c>
      <c r="D1742" t="s">
        <v>1782</v>
      </c>
      <c r="E1742" t="s">
        <v>4</v>
      </c>
      <c r="F1742">
        <v>16</v>
      </c>
      <c r="H1742" t="s">
        <v>5</v>
      </c>
      <c r="I1742" s="1">
        <v>27.13</v>
      </c>
      <c r="J1742" s="1">
        <v>26.86</v>
      </c>
      <c r="K1742" t="s">
        <v>6</v>
      </c>
    </row>
    <row r="1743" spans="1:11">
      <c r="A1743" t="s">
        <v>1710</v>
      </c>
      <c r="B1743">
        <v>452552</v>
      </c>
      <c r="C1743" s="2" t="str">
        <f>"ACR-G3632"</f>
        <v>ACR-G3632</v>
      </c>
      <c r="D1743" t="s">
        <v>1783</v>
      </c>
      <c r="E1743" t="s">
        <v>4</v>
      </c>
      <c r="F1743">
        <v>11</v>
      </c>
      <c r="H1743" t="s">
        <v>5</v>
      </c>
      <c r="I1743" s="1">
        <v>26.89</v>
      </c>
      <c r="J1743" s="1">
        <v>26.62</v>
      </c>
      <c r="K1743" t="s">
        <v>6</v>
      </c>
    </row>
    <row r="1744" spans="1:11">
      <c r="A1744" t="s">
        <v>1710</v>
      </c>
      <c r="B1744">
        <v>452562</v>
      </c>
      <c r="C1744" s="2" t="str">
        <f>"ACR-G3674"</f>
        <v>ACR-G3674</v>
      </c>
      <c r="D1744" t="s">
        <v>1783</v>
      </c>
      <c r="E1744" t="s">
        <v>4</v>
      </c>
      <c r="F1744">
        <v>11</v>
      </c>
      <c r="H1744" t="s">
        <v>5</v>
      </c>
      <c r="I1744" s="1">
        <v>32.31</v>
      </c>
      <c r="J1744" s="1">
        <v>31.99</v>
      </c>
      <c r="K1744" t="s">
        <v>6</v>
      </c>
    </row>
    <row r="1745" spans="1:12">
      <c r="A1745" t="s">
        <v>1710</v>
      </c>
      <c r="B1745">
        <v>456191</v>
      </c>
      <c r="C1745" s="2" t="str">
        <f>"ACR-G4774"</f>
        <v>ACR-G4774</v>
      </c>
      <c r="D1745" t="s">
        <v>1784</v>
      </c>
      <c r="E1745" t="s">
        <v>4</v>
      </c>
      <c r="F1745">
        <v>16</v>
      </c>
      <c r="H1745" t="s">
        <v>5</v>
      </c>
      <c r="I1745" s="1">
        <v>45.81</v>
      </c>
      <c r="J1745" s="1">
        <v>45.36</v>
      </c>
      <c r="K1745" t="s">
        <v>6</v>
      </c>
    </row>
    <row r="1746" spans="1:12">
      <c r="A1746" t="s">
        <v>1710</v>
      </c>
      <c r="B1746">
        <v>452561</v>
      </c>
      <c r="C1746" s="2" t="str">
        <f>"ACR-G4797"</f>
        <v>ACR-G4797</v>
      </c>
      <c r="D1746" t="s">
        <v>1785</v>
      </c>
      <c r="E1746" t="s">
        <v>4</v>
      </c>
      <c r="F1746">
        <v>17</v>
      </c>
      <c r="H1746" t="s">
        <v>5</v>
      </c>
      <c r="I1746" s="1">
        <v>74.38</v>
      </c>
      <c r="J1746" s="1">
        <v>73.650000000000006</v>
      </c>
      <c r="K1746" t="s">
        <v>6</v>
      </c>
    </row>
    <row r="1747" spans="1:12">
      <c r="A1747" t="s">
        <v>1710</v>
      </c>
      <c r="B1747">
        <v>455756</v>
      </c>
      <c r="C1747" s="2" t="str">
        <f>"ACR-G4797-3SP"</f>
        <v>ACR-G4797-3SP</v>
      </c>
      <c r="D1747" t="s">
        <v>1786</v>
      </c>
      <c r="E1747" t="s">
        <v>4</v>
      </c>
      <c r="F1747">
        <v>22</v>
      </c>
      <c r="H1747" t="s">
        <v>5</v>
      </c>
      <c r="I1747" s="1">
        <v>112.52</v>
      </c>
      <c r="J1747" s="1">
        <v>111.41</v>
      </c>
      <c r="K1747" t="s">
        <v>6</v>
      </c>
    </row>
    <row r="1748" spans="1:12">
      <c r="A1748" t="s">
        <v>1710</v>
      </c>
      <c r="B1748">
        <v>455764</v>
      </c>
      <c r="C1748" s="2" t="str">
        <f>"ACR-G4900"</f>
        <v>ACR-G4900</v>
      </c>
      <c r="D1748" t="s">
        <v>1787</v>
      </c>
      <c r="E1748" t="s">
        <v>4</v>
      </c>
      <c r="F1748">
        <v>21</v>
      </c>
      <c r="H1748" t="s">
        <v>5</v>
      </c>
      <c r="I1748" s="1">
        <v>63.51</v>
      </c>
      <c r="J1748" s="1">
        <v>62.88</v>
      </c>
      <c r="K1748" t="s">
        <v>6</v>
      </c>
    </row>
    <row r="1749" spans="1:12">
      <c r="A1749" t="s">
        <v>1710</v>
      </c>
      <c r="B1749">
        <v>452551</v>
      </c>
      <c r="C1749" s="2" t="str">
        <f>"ACR-G6000"</f>
        <v>ACR-G6000</v>
      </c>
      <c r="D1749" t="s">
        <v>1788</v>
      </c>
      <c r="E1749" t="s">
        <v>4</v>
      </c>
      <c r="F1749">
        <v>12</v>
      </c>
      <c r="H1749" t="s">
        <v>5</v>
      </c>
      <c r="I1749" s="1">
        <v>29.14</v>
      </c>
      <c r="J1749" s="1">
        <v>28.85</v>
      </c>
      <c r="K1749" t="s">
        <v>6</v>
      </c>
    </row>
    <row r="1750" spans="1:12">
      <c r="A1750" t="s">
        <v>1710</v>
      </c>
      <c r="B1750">
        <v>452555</v>
      </c>
      <c r="C1750" s="2" t="str">
        <f>"ACR-G7000"</f>
        <v>ACR-G7000</v>
      </c>
      <c r="D1750" t="s">
        <v>1789</v>
      </c>
      <c r="E1750" t="s">
        <v>4</v>
      </c>
      <c r="F1750">
        <v>12</v>
      </c>
      <c r="H1750" t="s">
        <v>5</v>
      </c>
      <c r="I1750" s="1">
        <v>49.08</v>
      </c>
      <c r="J1750" s="1">
        <v>48.59</v>
      </c>
      <c r="K1750" t="s">
        <v>6</v>
      </c>
    </row>
    <row r="1751" spans="1:12">
      <c r="A1751" t="s">
        <v>1710</v>
      </c>
      <c r="B1751">
        <v>457366</v>
      </c>
      <c r="C1751" s="2" t="str">
        <f>"ACR-P3632"</f>
        <v>ACR-P3632</v>
      </c>
      <c r="D1751" t="s">
        <v>1790</v>
      </c>
      <c r="E1751" t="s">
        <v>4</v>
      </c>
      <c r="F1751">
        <v>11</v>
      </c>
      <c r="H1751" t="s">
        <v>5</v>
      </c>
      <c r="I1751" s="1">
        <v>26.89</v>
      </c>
      <c r="J1751" s="1">
        <v>26.62</v>
      </c>
      <c r="K1751" t="s">
        <v>6</v>
      </c>
    </row>
    <row r="1752" spans="1:12">
      <c r="A1752" t="s">
        <v>1710</v>
      </c>
      <c r="B1752">
        <v>452563</v>
      </c>
      <c r="C1752" s="2" t="str">
        <f>"ACR-T4797SP"</f>
        <v>ACR-T4797SP</v>
      </c>
      <c r="D1752" t="s">
        <v>1791</v>
      </c>
      <c r="E1752" t="s">
        <v>4</v>
      </c>
      <c r="F1752">
        <v>18</v>
      </c>
      <c r="H1752" t="s">
        <v>5</v>
      </c>
      <c r="I1752" s="1">
        <v>76.209999999999994</v>
      </c>
      <c r="J1752" s="1">
        <v>75.45</v>
      </c>
      <c r="K1752" t="s">
        <v>6</v>
      </c>
    </row>
    <row r="1753" spans="1:12">
      <c r="A1753" t="s">
        <v>1710</v>
      </c>
      <c r="B1753">
        <v>455976</v>
      </c>
      <c r="C1753" s="2" t="str">
        <f>"ACR-T4997-3SP"</f>
        <v>ACR-T4997-3SP</v>
      </c>
      <c r="D1753" t="s">
        <v>1792</v>
      </c>
      <c r="E1753" t="s">
        <v>4</v>
      </c>
      <c r="F1753">
        <v>24</v>
      </c>
      <c r="H1753" t="s">
        <v>5</v>
      </c>
      <c r="I1753" s="1">
        <v>119.86</v>
      </c>
      <c r="J1753" s="1">
        <v>118.68</v>
      </c>
      <c r="K1753" t="s">
        <v>6</v>
      </c>
    </row>
    <row r="1754" spans="1:12">
      <c r="A1754" t="s">
        <v>1710</v>
      </c>
      <c r="B1754">
        <v>455761</v>
      </c>
      <c r="C1754" s="2" t="str">
        <f>"ACR-T4997SP"</f>
        <v>ACR-T4997SP</v>
      </c>
      <c r="D1754" t="s">
        <v>1793</v>
      </c>
      <c r="E1754" t="s">
        <v>4</v>
      </c>
      <c r="F1754">
        <v>18</v>
      </c>
      <c r="H1754" t="s">
        <v>5</v>
      </c>
      <c r="I1754" s="1">
        <v>81.33</v>
      </c>
      <c r="J1754" s="1">
        <v>80.52</v>
      </c>
      <c r="K1754" t="s">
        <v>6</v>
      </c>
    </row>
    <row r="1755" spans="1:12">
      <c r="A1755" t="s">
        <v>1794</v>
      </c>
      <c r="B1755">
        <v>394293</v>
      </c>
      <c r="C1755" s="2" t="str">
        <f>"12SXL"</f>
        <v>12SXL</v>
      </c>
      <c r="D1755" t="s">
        <v>1795</v>
      </c>
      <c r="E1755" t="s">
        <v>4</v>
      </c>
      <c r="F1755">
        <v>5.4</v>
      </c>
      <c r="G1755">
        <v>0.9</v>
      </c>
      <c r="H1755" t="s">
        <v>20</v>
      </c>
      <c r="I1755" s="1">
        <v>26.1</v>
      </c>
      <c r="J1755" s="1">
        <v>26.1</v>
      </c>
      <c r="K1755" t="s">
        <v>21</v>
      </c>
      <c r="L1755" s="1">
        <v>26.1</v>
      </c>
    </row>
    <row r="1756" spans="1:12">
      <c r="A1756" t="s">
        <v>1794</v>
      </c>
      <c r="B1756">
        <v>393331</v>
      </c>
      <c r="C1756" s="2" t="str">
        <f>"1515"</f>
        <v>1515</v>
      </c>
      <c r="D1756" t="s">
        <v>1796</v>
      </c>
      <c r="E1756" t="s">
        <v>4</v>
      </c>
      <c r="F1756">
        <v>4.26</v>
      </c>
      <c r="G1756">
        <v>0.71</v>
      </c>
      <c r="H1756" t="s">
        <v>20</v>
      </c>
      <c r="I1756" s="1">
        <v>21.61</v>
      </c>
      <c r="J1756" s="1">
        <v>21.61</v>
      </c>
      <c r="K1756" t="s">
        <v>21</v>
      </c>
      <c r="L1756" s="1">
        <v>21.61</v>
      </c>
    </row>
    <row r="1757" spans="1:12">
      <c r="A1757" t="s">
        <v>1794</v>
      </c>
      <c r="B1757">
        <v>393314</v>
      </c>
      <c r="C1757" s="2" t="str">
        <f>"28912MF-PCP"</f>
        <v>28912MF-PCP</v>
      </c>
      <c r="D1757" t="s">
        <v>1797</v>
      </c>
      <c r="E1757" t="s">
        <v>4</v>
      </c>
      <c r="F1757">
        <v>2.52</v>
      </c>
      <c r="G1757">
        <v>0.42</v>
      </c>
      <c r="H1757" t="s">
        <v>20</v>
      </c>
      <c r="I1757" s="1">
        <v>37.049999999999997</v>
      </c>
      <c r="J1757" s="1">
        <v>37.049999999999997</v>
      </c>
      <c r="K1757" t="s">
        <v>21</v>
      </c>
      <c r="L1757" s="1">
        <v>37.049999999999997</v>
      </c>
    </row>
    <row r="1758" spans="1:12">
      <c r="A1758" t="s">
        <v>1794</v>
      </c>
      <c r="B1758">
        <v>394305</v>
      </c>
      <c r="C1758" s="2" t="str">
        <f>"3-WAY"</f>
        <v>3-WAY</v>
      </c>
      <c r="D1758" t="s">
        <v>1798</v>
      </c>
      <c r="E1758" t="s">
        <v>4</v>
      </c>
      <c r="F1758">
        <v>4.5</v>
      </c>
      <c r="H1758" t="s">
        <v>5</v>
      </c>
      <c r="I1758" s="1">
        <v>60.45</v>
      </c>
      <c r="J1758" s="1">
        <v>60.45</v>
      </c>
      <c r="K1758" t="s">
        <v>6</v>
      </c>
    </row>
    <row r="1759" spans="1:12">
      <c r="A1759" t="s">
        <v>1794</v>
      </c>
      <c r="B1759">
        <v>393302</v>
      </c>
      <c r="C1759" s="2" t="str">
        <f>"40D-12"</f>
        <v>40D-12</v>
      </c>
      <c r="D1759" t="s">
        <v>1799</v>
      </c>
      <c r="E1759" t="s">
        <v>4</v>
      </c>
      <c r="F1759">
        <v>3.36</v>
      </c>
      <c r="G1759">
        <v>0.56000000000000005</v>
      </c>
      <c r="H1759" t="s">
        <v>20</v>
      </c>
      <c r="I1759" s="1">
        <v>49.4</v>
      </c>
      <c r="J1759" s="1">
        <v>49.4</v>
      </c>
      <c r="K1759" t="s">
        <v>21</v>
      </c>
      <c r="L1759" s="1">
        <v>49.4</v>
      </c>
    </row>
    <row r="1760" spans="1:12">
      <c r="A1760" t="s">
        <v>1794</v>
      </c>
      <c r="B1760">
        <v>393303</v>
      </c>
      <c r="C1760" s="2" t="str">
        <f>"45-10"</f>
        <v>45-10</v>
      </c>
      <c r="D1760" t="s">
        <v>1800</v>
      </c>
      <c r="E1760" t="s">
        <v>4</v>
      </c>
      <c r="F1760">
        <v>3.6</v>
      </c>
      <c r="G1760">
        <v>0.6</v>
      </c>
      <c r="H1760" t="s">
        <v>20</v>
      </c>
      <c r="I1760" s="1">
        <v>46.15</v>
      </c>
      <c r="J1760" s="1">
        <v>46.15</v>
      </c>
      <c r="K1760" t="s">
        <v>21</v>
      </c>
      <c r="L1760" s="1">
        <v>46.15</v>
      </c>
    </row>
    <row r="1761" spans="1:12">
      <c r="A1761" t="s">
        <v>1794</v>
      </c>
      <c r="B1761">
        <v>397937</v>
      </c>
      <c r="C1761" s="2" t="str">
        <f>"85849CP"</f>
        <v>85849CP</v>
      </c>
      <c r="D1761" t="s">
        <v>1801</v>
      </c>
      <c r="E1761" t="s">
        <v>4</v>
      </c>
      <c r="F1761">
        <v>3.48</v>
      </c>
      <c r="G1761">
        <v>0.57999999999999996</v>
      </c>
      <c r="H1761" t="s">
        <v>20</v>
      </c>
      <c r="I1761" s="1">
        <v>20.309999999999999</v>
      </c>
      <c r="J1761" s="1">
        <v>20.309999999999999</v>
      </c>
      <c r="K1761" t="s">
        <v>21</v>
      </c>
      <c r="L1761" s="1">
        <v>20.309999999999999</v>
      </c>
    </row>
    <row r="1762" spans="1:12">
      <c r="A1762" t="s">
        <v>1794</v>
      </c>
      <c r="B1762">
        <v>393372</v>
      </c>
      <c r="C1762" s="2" t="str">
        <f>"85859CP"</f>
        <v>85859CP</v>
      </c>
      <c r="D1762" t="s">
        <v>1802</v>
      </c>
      <c r="E1762" t="s">
        <v>4</v>
      </c>
      <c r="F1762">
        <v>4.0199999999999996</v>
      </c>
      <c r="G1762">
        <v>0.67</v>
      </c>
      <c r="H1762" t="s">
        <v>20</v>
      </c>
      <c r="I1762" s="1">
        <v>22.59</v>
      </c>
      <c r="J1762" s="1">
        <v>22.59</v>
      </c>
      <c r="K1762" t="s">
        <v>21</v>
      </c>
      <c r="L1762" s="1">
        <v>22.59</v>
      </c>
    </row>
    <row r="1763" spans="1:12">
      <c r="A1763" t="s">
        <v>1794</v>
      </c>
      <c r="B1763">
        <v>437897</v>
      </c>
      <c r="C1763" s="2" t="str">
        <f>"85869"</f>
        <v>85869</v>
      </c>
      <c r="D1763" t="s">
        <v>1803</v>
      </c>
      <c r="E1763" t="s">
        <v>4</v>
      </c>
      <c r="F1763">
        <v>5.76</v>
      </c>
      <c r="G1763">
        <v>0.96</v>
      </c>
      <c r="H1763" t="s">
        <v>20</v>
      </c>
      <c r="I1763" s="1">
        <v>26.98</v>
      </c>
      <c r="J1763" s="1">
        <v>26.98</v>
      </c>
      <c r="K1763" t="s">
        <v>21</v>
      </c>
      <c r="L1763" s="1">
        <v>26.98</v>
      </c>
    </row>
    <row r="1764" spans="1:12">
      <c r="A1764" t="s">
        <v>1794</v>
      </c>
      <c r="B1764">
        <v>394291</v>
      </c>
      <c r="C1764" s="2" t="str">
        <f>"A12R"</f>
        <v>A12R</v>
      </c>
      <c r="D1764" t="s">
        <v>1804</v>
      </c>
      <c r="E1764" t="s">
        <v>4</v>
      </c>
      <c r="F1764">
        <v>7.02</v>
      </c>
      <c r="G1764">
        <v>1.17</v>
      </c>
      <c r="H1764" t="s">
        <v>20</v>
      </c>
      <c r="I1764" s="1">
        <v>30.23</v>
      </c>
      <c r="J1764" s="1">
        <v>30.23</v>
      </c>
      <c r="K1764" t="s">
        <v>21</v>
      </c>
      <c r="L1764" s="1">
        <v>30.23</v>
      </c>
    </row>
    <row r="1765" spans="1:12">
      <c r="A1765" t="s">
        <v>1794</v>
      </c>
      <c r="B1765">
        <v>393403</v>
      </c>
      <c r="C1765" s="2" t="str">
        <f>"CC1"</f>
        <v>CC1</v>
      </c>
      <c r="D1765" t="s">
        <v>1805</v>
      </c>
      <c r="E1765" t="s">
        <v>4</v>
      </c>
      <c r="F1765">
        <v>1</v>
      </c>
      <c r="H1765" t="s">
        <v>5</v>
      </c>
      <c r="I1765" s="1">
        <v>24.7</v>
      </c>
      <c r="J1765" s="1">
        <v>24.7</v>
      </c>
      <c r="K1765" t="s">
        <v>6</v>
      </c>
    </row>
    <row r="1766" spans="1:12">
      <c r="A1766" t="s">
        <v>1794</v>
      </c>
      <c r="B1766">
        <v>393329</v>
      </c>
      <c r="C1766" s="2" t="str">
        <f>"DDS-12"</f>
        <v>DDS-12</v>
      </c>
      <c r="D1766" t="s">
        <v>1806</v>
      </c>
      <c r="E1766" t="s">
        <v>4</v>
      </c>
      <c r="F1766">
        <v>2.2799999999999998</v>
      </c>
      <c r="G1766">
        <v>0.38</v>
      </c>
      <c r="H1766" t="s">
        <v>20</v>
      </c>
      <c r="I1766" s="1">
        <v>31.85</v>
      </c>
      <c r="J1766" s="1">
        <v>31.85</v>
      </c>
      <c r="K1766" t="s">
        <v>21</v>
      </c>
      <c r="L1766" s="1">
        <v>31.85</v>
      </c>
    </row>
    <row r="1767" spans="1:12">
      <c r="A1767" t="s">
        <v>1794</v>
      </c>
      <c r="B1767">
        <v>393371</v>
      </c>
      <c r="C1767" s="2" t="str">
        <f>"L4504"</f>
        <v>L4504</v>
      </c>
      <c r="D1767" t="s">
        <v>1807</v>
      </c>
      <c r="E1767" t="s">
        <v>4</v>
      </c>
      <c r="F1767">
        <v>1.98</v>
      </c>
      <c r="G1767">
        <v>0.33</v>
      </c>
      <c r="H1767" t="s">
        <v>20</v>
      </c>
      <c r="I1767" s="1">
        <v>8.7100000000000009</v>
      </c>
      <c r="J1767" s="1">
        <v>8.7100000000000009</v>
      </c>
      <c r="K1767" t="s">
        <v>21</v>
      </c>
      <c r="L1767" s="1">
        <v>8.7100000000000009</v>
      </c>
    </row>
    <row r="1768" spans="1:12">
      <c r="A1768" t="s">
        <v>1794</v>
      </c>
      <c r="B1768">
        <v>393332</v>
      </c>
      <c r="C1768" s="2" t="str">
        <f>"LS8698"</f>
        <v>LS8698</v>
      </c>
      <c r="D1768" t="s">
        <v>1808</v>
      </c>
      <c r="E1768" t="s">
        <v>4</v>
      </c>
      <c r="F1768">
        <v>4.74</v>
      </c>
      <c r="G1768">
        <v>0.79</v>
      </c>
      <c r="H1768" t="s">
        <v>20</v>
      </c>
      <c r="I1768" s="1">
        <v>25.03</v>
      </c>
      <c r="J1768" s="1">
        <v>25.03</v>
      </c>
      <c r="K1768" t="s">
        <v>21</v>
      </c>
      <c r="L1768" s="1">
        <v>25.03</v>
      </c>
    </row>
    <row r="1769" spans="1:12">
      <c r="A1769" t="s">
        <v>1794</v>
      </c>
      <c r="B1769">
        <v>437361</v>
      </c>
      <c r="C1769" s="2" t="str">
        <f>"P17"</f>
        <v>P17</v>
      </c>
      <c r="D1769" t="s">
        <v>1809</v>
      </c>
      <c r="E1769" t="s">
        <v>4</v>
      </c>
      <c r="F1769">
        <v>0.9</v>
      </c>
      <c r="G1769">
        <v>0.15</v>
      </c>
      <c r="H1769" t="s">
        <v>20</v>
      </c>
      <c r="I1769" s="1">
        <v>9.43</v>
      </c>
      <c r="J1769" s="1">
        <v>9.43</v>
      </c>
      <c r="K1769" t="s">
        <v>21</v>
      </c>
      <c r="L1769" s="1">
        <v>9.43</v>
      </c>
    </row>
    <row r="1770" spans="1:12">
      <c r="A1770" t="s">
        <v>1794</v>
      </c>
      <c r="B1770">
        <v>437368</v>
      </c>
      <c r="C1770" s="2" t="str">
        <f>"P177A-4PCP"</f>
        <v>P177A-4PCP</v>
      </c>
      <c r="D1770" t="s">
        <v>1810</v>
      </c>
      <c r="E1770" t="s">
        <v>4</v>
      </c>
      <c r="F1770">
        <v>2.52</v>
      </c>
      <c r="G1770">
        <v>0.42</v>
      </c>
      <c r="H1770" t="s">
        <v>20</v>
      </c>
      <c r="I1770" s="1">
        <v>18.11</v>
      </c>
      <c r="J1770" s="1">
        <v>18.11</v>
      </c>
      <c r="K1770" t="s">
        <v>21</v>
      </c>
      <c r="L1770" s="1">
        <v>18.11</v>
      </c>
    </row>
    <row r="1771" spans="1:12">
      <c r="A1771" t="s">
        <v>1794</v>
      </c>
      <c r="B1771">
        <v>393364</v>
      </c>
      <c r="C1771" s="2" t="str">
        <f>"P3APCP"</f>
        <v>P3APCP</v>
      </c>
      <c r="D1771" t="s">
        <v>1811</v>
      </c>
      <c r="E1771" t="s">
        <v>4</v>
      </c>
      <c r="F1771">
        <v>1.98</v>
      </c>
      <c r="G1771">
        <v>0.33</v>
      </c>
      <c r="H1771" t="s">
        <v>20</v>
      </c>
      <c r="I1771" s="1">
        <v>14.92</v>
      </c>
      <c r="J1771" s="1">
        <v>14.92</v>
      </c>
      <c r="K1771" t="s">
        <v>21</v>
      </c>
      <c r="L1771" s="1">
        <v>14.92</v>
      </c>
    </row>
    <row r="1772" spans="1:12">
      <c r="A1772" t="s">
        <v>1794</v>
      </c>
      <c r="B1772">
        <v>393357</v>
      </c>
      <c r="C1772" s="2" t="str">
        <f>"P40003"</f>
        <v>P40003</v>
      </c>
      <c r="D1772" t="s">
        <v>1812</v>
      </c>
      <c r="E1772" t="s">
        <v>4</v>
      </c>
      <c r="F1772">
        <v>2.88</v>
      </c>
      <c r="G1772">
        <v>0.06</v>
      </c>
      <c r="H1772" t="s">
        <v>1432</v>
      </c>
      <c r="I1772" s="1">
        <v>1.1100000000000001</v>
      </c>
      <c r="J1772" s="1">
        <v>1.01</v>
      </c>
      <c r="K1772" t="s">
        <v>21</v>
      </c>
      <c r="L1772" s="1">
        <v>1.01</v>
      </c>
    </row>
    <row r="1773" spans="1:12">
      <c r="A1773" t="s">
        <v>1794</v>
      </c>
      <c r="B1773">
        <v>393359</v>
      </c>
      <c r="C1773" s="2" t="str">
        <f>"P40843"</f>
        <v>P40843</v>
      </c>
      <c r="D1773" t="s">
        <v>1813</v>
      </c>
      <c r="E1773" t="s">
        <v>4</v>
      </c>
      <c r="F1773">
        <v>1.44</v>
      </c>
      <c r="G1773">
        <v>0.06</v>
      </c>
      <c r="H1773" t="s">
        <v>666</v>
      </c>
      <c r="I1773" s="1">
        <v>2.14</v>
      </c>
      <c r="J1773" s="1">
        <v>1.94</v>
      </c>
      <c r="K1773" t="s">
        <v>21</v>
      </c>
      <c r="L1773" s="1">
        <v>1.94</v>
      </c>
    </row>
    <row r="1774" spans="1:12">
      <c r="A1774" t="s">
        <v>1794</v>
      </c>
      <c r="B1774">
        <v>437634</v>
      </c>
      <c r="C1774" s="2" t="str">
        <f>"P94005"</f>
        <v>P94005</v>
      </c>
      <c r="D1774" t="s">
        <v>1814</v>
      </c>
      <c r="E1774" t="s">
        <v>4</v>
      </c>
      <c r="F1774">
        <v>0.96</v>
      </c>
      <c r="G1774">
        <v>0.08</v>
      </c>
      <c r="H1774" t="s">
        <v>106</v>
      </c>
      <c r="I1774" s="1">
        <v>6.22</v>
      </c>
      <c r="J1774" s="1">
        <v>5.85</v>
      </c>
      <c r="K1774" t="s">
        <v>21</v>
      </c>
      <c r="L1774" s="1">
        <v>5.85</v>
      </c>
    </row>
    <row r="1775" spans="1:12">
      <c r="A1775" t="s">
        <v>1794</v>
      </c>
      <c r="B1775">
        <v>397864</v>
      </c>
      <c r="C1775" s="2" t="str">
        <f>"P94801"</f>
        <v>P94801</v>
      </c>
      <c r="D1775" t="s">
        <v>1815</v>
      </c>
      <c r="E1775" t="s">
        <v>4</v>
      </c>
      <c r="F1775">
        <v>4.9800000000000004</v>
      </c>
      <c r="G1775">
        <v>0.83</v>
      </c>
      <c r="H1775" t="s">
        <v>20</v>
      </c>
      <c r="I1775" s="1">
        <v>14.34</v>
      </c>
      <c r="J1775" s="1">
        <v>13.49</v>
      </c>
      <c r="K1775" t="s">
        <v>21</v>
      </c>
      <c r="L1775" s="1">
        <v>13.49</v>
      </c>
    </row>
    <row r="1776" spans="1:12">
      <c r="A1776" t="s">
        <v>1794</v>
      </c>
      <c r="B1776">
        <v>393352</v>
      </c>
      <c r="C1776" s="2" t="str">
        <f>"P94802"</f>
        <v>P94802</v>
      </c>
      <c r="D1776" t="s">
        <v>1816</v>
      </c>
      <c r="E1776" t="s">
        <v>4</v>
      </c>
      <c r="F1776">
        <v>3.12</v>
      </c>
      <c r="G1776">
        <v>0.52</v>
      </c>
      <c r="H1776" t="s">
        <v>20</v>
      </c>
      <c r="I1776" s="1">
        <v>16.850000000000001</v>
      </c>
      <c r="J1776" s="1">
        <v>15.86</v>
      </c>
      <c r="K1776" t="s">
        <v>21</v>
      </c>
      <c r="L1776" s="1">
        <v>15.86</v>
      </c>
    </row>
    <row r="1777" spans="1:12">
      <c r="A1777" t="s">
        <v>1794</v>
      </c>
      <c r="B1777">
        <v>393351</v>
      </c>
      <c r="C1777" s="2" t="str">
        <f>"P94803"</f>
        <v>P94803</v>
      </c>
      <c r="D1777" t="s">
        <v>1817</v>
      </c>
      <c r="E1777" t="s">
        <v>4</v>
      </c>
      <c r="F1777">
        <v>1.74</v>
      </c>
      <c r="G1777">
        <v>0.28999999999999998</v>
      </c>
      <c r="H1777" t="s">
        <v>20</v>
      </c>
      <c r="I1777" s="1">
        <v>9.09</v>
      </c>
      <c r="J1777" s="1">
        <v>8.5500000000000007</v>
      </c>
      <c r="K1777" t="s">
        <v>21</v>
      </c>
      <c r="L1777" s="1">
        <v>8.5500000000000007</v>
      </c>
    </row>
    <row r="1778" spans="1:12">
      <c r="A1778" t="s">
        <v>1794</v>
      </c>
      <c r="B1778">
        <v>393365</v>
      </c>
      <c r="C1778" s="2" t="str">
        <f>"P94804"</f>
        <v>P94804</v>
      </c>
      <c r="D1778" t="s">
        <v>1818</v>
      </c>
      <c r="E1778" t="s">
        <v>4</v>
      </c>
      <c r="F1778">
        <v>2.2799999999999998</v>
      </c>
      <c r="G1778">
        <v>0.38</v>
      </c>
      <c r="H1778" t="s">
        <v>20</v>
      </c>
      <c r="I1778" s="1">
        <v>10.36</v>
      </c>
      <c r="J1778" s="1">
        <v>9.75</v>
      </c>
      <c r="K1778" t="s">
        <v>21</v>
      </c>
      <c r="L1778" s="1">
        <v>9.75</v>
      </c>
    </row>
    <row r="1779" spans="1:12">
      <c r="A1779" t="s">
        <v>1794</v>
      </c>
      <c r="B1779">
        <v>393366</v>
      </c>
      <c r="C1779" s="2" t="str">
        <f>"P94805"</f>
        <v>P94805</v>
      </c>
      <c r="D1779" t="s">
        <v>1819</v>
      </c>
      <c r="E1779" t="s">
        <v>4</v>
      </c>
      <c r="F1779">
        <v>2.52</v>
      </c>
      <c r="G1779">
        <v>0.42</v>
      </c>
      <c r="H1779" t="s">
        <v>20</v>
      </c>
      <c r="I1779" s="1">
        <v>11.57</v>
      </c>
      <c r="J1779" s="1">
        <v>10.89</v>
      </c>
      <c r="K1779" t="s">
        <v>21</v>
      </c>
      <c r="L1779" s="1">
        <v>10.89</v>
      </c>
    </row>
    <row r="1780" spans="1:12">
      <c r="A1780" t="s">
        <v>1794</v>
      </c>
      <c r="B1780">
        <v>397869</v>
      </c>
      <c r="C1780" s="2" t="str">
        <f>"P94807"</f>
        <v>P94807</v>
      </c>
      <c r="D1780" t="s">
        <v>1820</v>
      </c>
      <c r="E1780" t="s">
        <v>4</v>
      </c>
      <c r="F1780">
        <v>3.78</v>
      </c>
      <c r="G1780">
        <v>0.63</v>
      </c>
      <c r="H1780" t="s">
        <v>20</v>
      </c>
      <c r="I1780" s="1">
        <v>9.7200000000000006</v>
      </c>
      <c r="J1780" s="1">
        <v>9.15</v>
      </c>
      <c r="K1780" t="s">
        <v>21</v>
      </c>
      <c r="L1780" s="1">
        <v>9.15</v>
      </c>
    </row>
    <row r="1781" spans="1:12">
      <c r="A1781" t="s">
        <v>1794</v>
      </c>
      <c r="B1781">
        <v>397872</v>
      </c>
      <c r="C1781" s="2" t="str">
        <f>"P94816"</f>
        <v>P94816</v>
      </c>
      <c r="D1781" t="s">
        <v>1821</v>
      </c>
      <c r="E1781" t="s">
        <v>4</v>
      </c>
      <c r="F1781">
        <v>0.96</v>
      </c>
      <c r="G1781">
        <v>0.08</v>
      </c>
      <c r="H1781" t="s">
        <v>106</v>
      </c>
      <c r="I1781" s="1">
        <v>3.59</v>
      </c>
      <c r="J1781" s="1">
        <v>3.38</v>
      </c>
      <c r="K1781" t="s">
        <v>21</v>
      </c>
      <c r="L1781" s="1">
        <v>3.38</v>
      </c>
    </row>
    <row r="1782" spans="1:12">
      <c r="A1782" t="s">
        <v>1794</v>
      </c>
      <c r="B1782">
        <v>393349</v>
      </c>
      <c r="C1782" s="2" t="str">
        <f>"P94823"</f>
        <v>P94823</v>
      </c>
      <c r="D1782" t="s">
        <v>1822</v>
      </c>
      <c r="E1782" t="s">
        <v>4</v>
      </c>
      <c r="F1782">
        <v>1.62</v>
      </c>
      <c r="G1782">
        <v>0.27</v>
      </c>
      <c r="H1782" t="s">
        <v>20</v>
      </c>
      <c r="I1782" s="1">
        <v>7.85</v>
      </c>
      <c r="J1782" s="1">
        <v>7.38</v>
      </c>
      <c r="K1782" t="s">
        <v>21</v>
      </c>
      <c r="L1782" s="1">
        <v>7.38</v>
      </c>
    </row>
    <row r="1783" spans="1:12">
      <c r="A1783" t="s">
        <v>1794</v>
      </c>
      <c r="B1783">
        <v>393353</v>
      </c>
      <c r="C1783" s="2" t="str">
        <f>"P94831"</f>
        <v>P94831</v>
      </c>
      <c r="D1783" t="s">
        <v>1823</v>
      </c>
      <c r="E1783" t="s">
        <v>4</v>
      </c>
      <c r="F1783">
        <v>3.48</v>
      </c>
      <c r="G1783">
        <v>0.57999999999999996</v>
      </c>
      <c r="H1783" t="s">
        <v>20</v>
      </c>
      <c r="I1783" s="1">
        <v>17.649999999999999</v>
      </c>
      <c r="J1783" s="1">
        <v>16.61</v>
      </c>
      <c r="K1783" t="s">
        <v>21</v>
      </c>
      <c r="L1783" s="1">
        <v>16.61</v>
      </c>
    </row>
    <row r="1784" spans="1:12">
      <c r="A1784" t="s">
        <v>1794</v>
      </c>
      <c r="B1784">
        <v>393356</v>
      </c>
      <c r="C1784" s="2" t="str">
        <f>"P94843"</f>
        <v>P94843</v>
      </c>
      <c r="D1784" t="s">
        <v>1824</v>
      </c>
      <c r="E1784" t="s">
        <v>4</v>
      </c>
      <c r="F1784">
        <v>0.96</v>
      </c>
      <c r="G1784">
        <v>0.08</v>
      </c>
      <c r="H1784" t="s">
        <v>106</v>
      </c>
      <c r="I1784" s="1">
        <v>3.59</v>
      </c>
      <c r="J1784" s="1">
        <v>3.38</v>
      </c>
      <c r="K1784" t="s">
        <v>21</v>
      </c>
      <c r="L1784" s="1">
        <v>3.38</v>
      </c>
    </row>
    <row r="1785" spans="1:12">
      <c r="A1785" t="s">
        <v>1794</v>
      </c>
      <c r="B1785">
        <v>397880</v>
      </c>
      <c r="C1785" s="2" t="str">
        <f>"P94846"</f>
        <v>P94846</v>
      </c>
      <c r="D1785" t="s">
        <v>1825</v>
      </c>
      <c r="E1785" t="s">
        <v>4</v>
      </c>
      <c r="F1785">
        <v>0.96</v>
      </c>
      <c r="G1785">
        <v>0.08</v>
      </c>
      <c r="H1785" t="s">
        <v>106</v>
      </c>
      <c r="I1785" s="1">
        <v>3.59</v>
      </c>
      <c r="J1785" s="1">
        <v>3.38</v>
      </c>
      <c r="K1785" t="s">
        <v>21</v>
      </c>
      <c r="L1785" s="1">
        <v>3.38</v>
      </c>
    </row>
    <row r="1786" spans="1:12">
      <c r="A1786" t="s">
        <v>1794</v>
      </c>
      <c r="B1786">
        <v>393354</v>
      </c>
      <c r="C1786" s="2" t="str">
        <f>"P94850"</f>
        <v>P94850</v>
      </c>
      <c r="D1786" t="s">
        <v>1826</v>
      </c>
      <c r="E1786" t="s">
        <v>4</v>
      </c>
      <c r="F1786">
        <v>3.96</v>
      </c>
      <c r="G1786">
        <v>0.33</v>
      </c>
      <c r="H1786" t="s">
        <v>106</v>
      </c>
      <c r="I1786" s="1">
        <v>10.9</v>
      </c>
      <c r="J1786" s="1">
        <v>9.91</v>
      </c>
      <c r="K1786" t="s">
        <v>21</v>
      </c>
      <c r="L1786" s="1">
        <v>9.91</v>
      </c>
    </row>
    <row r="1787" spans="1:12">
      <c r="A1787" t="s">
        <v>1794</v>
      </c>
      <c r="B1787">
        <v>397913</v>
      </c>
      <c r="C1787" s="2" t="str">
        <f>"P94851"</f>
        <v>P94851</v>
      </c>
      <c r="D1787" t="s">
        <v>1827</v>
      </c>
      <c r="E1787" t="s">
        <v>4</v>
      </c>
      <c r="F1787">
        <v>2.52</v>
      </c>
      <c r="G1787">
        <v>0.21</v>
      </c>
      <c r="H1787" t="s">
        <v>106</v>
      </c>
      <c r="I1787" s="1">
        <v>7.4</v>
      </c>
      <c r="J1787" s="1">
        <v>6.73</v>
      </c>
      <c r="K1787" t="s">
        <v>21</v>
      </c>
      <c r="L1787" s="1">
        <v>6.73</v>
      </c>
    </row>
    <row r="1788" spans="1:12">
      <c r="A1788" t="s">
        <v>1794</v>
      </c>
      <c r="B1788">
        <v>393360</v>
      </c>
      <c r="C1788" s="2" t="str">
        <f>"P94852"</f>
        <v>P94852</v>
      </c>
      <c r="D1788" t="s">
        <v>1828</v>
      </c>
      <c r="E1788" t="s">
        <v>4</v>
      </c>
      <c r="F1788">
        <v>2.04</v>
      </c>
      <c r="G1788">
        <v>0.17</v>
      </c>
      <c r="H1788" t="s">
        <v>106</v>
      </c>
      <c r="I1788" s="1">
        <v>7.83</v>
      </c>
      <c r="J1788" s="1">
        <v>7.12</v>
      </c>
      <c r="K1788" t="s">
        <v>21</v>
      </c>
      <c r="L1788" s="1">
        <v>7.12</v>
      </c>
    </row>
    <row r="1789" spans="1:12">
      <c r="A1789" t="s">
        <v>1794</v>
      </c>
      <c r="B1789">
        <v>393361</v>
      </c>
      <c r="C1789" s="2" t="str">
        <f>"P94853"</f>
        <v>P94853</v>
      </c>
      <c r="D1789" t="s">
        <v>1829</v>
      </c>
      <c r="E1789" t="s">
        <v>4</v>
      </c>
      <c r="F1789">
        <v>3</v>
      </c>
      <c r="G1789">
        <v>0.25</v>
      </c>
      <c r="H1789" t="s">
        <v>106</v>
      </c>
      <c r="I1789" s="1">
        <v>8.69</v>
      </c>
      <c r="J1789" s="1">
        <v>7.9</v>
      </c>
      <c r="K1789" t="s">
        <v>21</v>
      </c>
      <c r="L1789" s="1">
        <v>7.9</v>
      </c>
    </row>
    <row r="1790" spans="1:12">
      <c r="A1790" t="s">
        <v>1794</v>
      </c>
      <c r="B1790">
        <v>397914</v>
      </c>
      <c r="C1790" s="2" t="str">
        <f>"P94854"</f>
        <v>P94854</v>
      </c>
      <c r="D1790" t="s">
        <v>1801</v>
      </c>
      <c r="E1790" t="s">
        <v>4</v>
      </c>
      <c r="F1790">
        <v>4.9800000000000004</v>
      </c>
      <c r="G1790">
        <v>0.83</v>
      </c>
      <c r="H1790" t="s">
        <v>20</v>
      </c>
      <c r="I1790" s="1">
        <v>10.9</v>
      </c>
      <c r="J1790" s="1">
        <v>9.91</v>
      </c>
      <c r="K1790" t="s">
        <v>21</v>
      </c>
      <c r="L1790" s="1">
        <v>9.91</v>
      </c>
    </row>
    <row r="1791" spans="1:12">
      <c r="A1791" t="s">
        <v>1794</v>
      </c>
      <c r="B1791">
        <v>393367</v>
      </c>
      <c r="C1791" s="2" t="str">
        <f>"P94855"</f>
        <v>P94855</v>
      </c>
      <c r="D1791" t="s">
        <v>1830</v>
      </c>
      <c r="E1791" t="s">
        <v>4</v>
      </c>
      <c r="F1791">
        <v>3.24</v>
      </c>
      <c r="G1791">
        <v>0.54</v>
      </c>
      <c r="H1791" t="s">
        <v>20</v>
      </c>
      <c r="I1791" s="1">
        <v>11.55</v>
      </c>
      <c r="J1791" s="1">
        <v>10.5</v>
      </c>
      <c r="K1791" t="s">
        <v>21</v>
      </c>
      <c r="L1791" s="1">
        <v>10.5</v>
      </c>
    </row>
    <row r="1792" spans="1:12">
      <c r="A1792" t="s">
        <v>1794</v>
      </c>
      <c r="B1792">
        <v>393369</v>
      </c>
      <c r="C1792" s="2" t="str">
        <f>"P94856"</f>
        <v>P94856</v>
      </c>
      <c r="D1792" t="s">
        <v>1831</v>
      </c>
      <c r="E1792" t="s">
        <v>4</v>
      </c>
      <c r="F1792">
        <v>2.64</v>
      </c>
      <c r="G1792">
        <v>0.44</v>
      </c>
      <c r="H1792" t="s">
        <v>20</v>
      </c>
      <c r="I1792" s="1">
        <v>12.48</v>
      </c>
      <c r="J1792" s="1">
        <v>11.34</v>
      </c>
      <c r="K1792" t="s">
        <v>21</v>
      </c>
      <c r="L1792" s="1">
        <v>11.34</v>
      </c>
    </row>
    <row r="1793" spans="1:12">
      <c r="A1793" t="s">
        <v>1794</v>
      </c>
      <c r="B1793">
        <v>447745</v>
      </c>
      <c r="C1793" s="2" t="str">
        <f>"P94ZZA-4"</f>
        <v>P94ZZA-4</v>
      </c>
      <c r="D1793" t="s">
        <v>1832</v>
      </c>
      <c r="E1793" t="s">
        <v>4</v>
      </c>
      <c r="F1793">
        <v>4.2</v>
      </c>
      <c r="G1793">
        <v>0.35</v>
      </c>
      <c r="H1793" t="s">
        <v>106</v>
      </c>
      <c r="I1793" s="1">
        <v>5.72</v>
      </c>
      <c r="J1793" s="1">
        <v>5.2</v>
      </c>
      <c r="K1793" t="s">
        <v>457</v>
      </c>
      <c r="L1793" s="1">
        <v>5.2</v>
      </c>
    </row>
    <row r="1794" spans="1:12">
      <c r="A1794" t="s">
        <v>1794</v>
      </c>
      <c r="B1794">
        <v>393319</v>
      </c>
      <c r="C1794" s="2" t="str">
        <f>"PR180-20"</f>
        <v>PR180-20</v>
      </c>
      <c r="D1794" t="s">
        <v>1833</v>
      </c>
      <c r="E1794" t="s">
        <v>4</v>
      </c>
      <c r="F1794">
        <v>8.4</v>
      </c>
      <c r="G1794">
        <v>1.4</v>
      </c>
      <c r="H1794" t="s">
        <v>20</v>
      </c>
      <c r="I1794" s="1">
        <v>43.55</v>
      </c>
      <c r="J1794" s="1">
        <v>43.55</v>
      </c>
      <c r="K1794" t="s">
        <v>21</v>
      </c>
      <c r="L1794" s="1">
        <v>43.55</v>
      </c>
    </row>
    <row r="1795" spans="1:12">
      <c r="A1795" t="s">
        <v>1794</v>
      </c>
      <c r="B1795">
        <v>393363</v>
      </c>
      <c r="C1795" s="2" t="str">
        <f>"PS286-8"</f>
        <v>PS286-8</v>
      </c>
      <c r="D1795" t="s">
        <v>1834</v>
      </c>
      <c r="E1795" t="s">
        <v>4</v>
      </c>
      <c r="F1795">
        <v>2.88</v>
      </c>
      <c r="G1795">
        <v>0.48</v>
      </c>
      <c r="H1795" t="s">
        <v>20</v>
      </c>
      <c r="I1795" s="1">
        <v>19.829999999999998</v>
      </c>
      <c r="J1795" s="1">
        <v>19.829999999999998</v>
      </c>
      <c r="K1795" t="s">
        <v>21</v>
      </c>
      <c r="L1795" s="1">
        <v>19.829999999999998</v>
      </c>
    </row>
    <row r="1796" spans="1:12">
      <c r="A1796" t="s">
        <v>1794</v>
      </c>
      <c r="B1796">
        <v>437886</v>
      </c>
      <c r="C1796" s="2" t="str">
        <f>"PS286-8CP"</f>
        <v>PS286-8CP</v>
      </c>
      <c r="D1796" t="s">
        <v>1835</v>
      </c>
      <c r="E1796" t="s">
        <v>4</v>
      </c>
      <c r="F1796">
        <v>2.88</v>
      </c>
      <c r="G1796">
        <v>0.48</v>
      </c>
      <c r="H1796" t="s">
        <v>20</v>
      </c>
      <c r="I1796" s="1">
        <v>19.829999999999998</v>
      </c>
      <c r="J1796" s="1">
        <v>19.829999999999998</v>
      </c>
      <c r="K1796" t="s">
        <v>21</v>
      </c>
      <c r="L1796" s="1">
        <v>19.829999999999998</v>
      </c>
    </row>
    <row r="1797" spans="1:12">
      <c r="A1797" t="s">
        <v>1794</v>
      </c>
      <c r="B1797">
        <v>393370</v>
      </c>
      <c r="C1797" s="2" t="str">
        <f>"PS8698PCP"</f>
        <v>PS8698PCP</v>
      </c>
      <c r="D1797" t="s">
        <v>1836</v>
      </c>
      <c r="E1797" t="s">
        <v>4</v>
      </c>
      <c r="F1797">
        <v>3.12</v>
      </c>
      <c r="G1797">
        <v>0.52</v>
      </c>
      <c r="H1797" t="s">
        <v>20</v>
      </c>
      <c r="I1797" s="1">
        <v>21.61</v>
      </c>
      <c r="J1797" s="1">
        <v>21.61</v>
      </c>
      <c r="K1797" t="s">
        <v>21</v>
      </c>
      <c r="L1797" s="1">
        <v>21.61</v>
      </c>
    </row>
    <row r="1798" spans="1:12">
      <c r="A1798" t="s">
        <v>1794</v>
      </c>
      <c r="B1798">
        <v>397935</v>
      </c>
      <c r="C1798" s="2" t="str">
        <f>"S104-3 CARD"</f>
        <v>S104-3 CARD</v>
      </c>
      <c r="D1798" t="s">
        <v>1837</v>
      </c>
      <c r="E1798" t="s">
        <v>4</v>
      </c>
      <c r="F1798">
        <v>2.2400000000000002</v>
      </c>
      <c r="G1798">
        <v>0.28000000000000003</v>
      </c>
      <c r="H1798" t="s">
        <v>1456</v>
      </c>
      <c r="I1798" s="1">
        <v>15.21</v>
      </c>
      <c r="J1798" s="1">
        <v>15.21</v>
      </c>
      <c r="K1798" t="s">
        <v>1535</v>
      </c>
      <c r="L1798" s="1">
        <v>15.21</v>
      </c>
    </row>
    <row r="1799" spans="1:12">
      <c r="A1799" t="s">
        <v>1794</v>
      </c>
      <c r="B1799">
        <v>393402</v>
      </c>
      <c r="C1799" s="2" t="str">
        <f>"S104PCP"</f>
        <v>S104PCP</v>
      </c>
      <c r="D1799" t="s">
        <v>1838</v>
      </c>
      <c r="E1799" t="s">
        <v>4</v>
      </c>
      <c r="F1799">
        <v>0.96</v>
      </c>
      <c r="G1799">
        <v>0.08</v>
      </c>
      <c r="H1799" t="s">
        <v>106</v>
      </c>
      <c r="I1799" s="1">
        <v>5.17</v>
      </c>
      <c r="J1799" s="1">
        <v>5.17</v>
      </c>
      <c r="K1799" t="s">
        <v>21</v>
      </c>
      <c r="L1799" s="1">
        <v>5.17</v>
      </c>
    </row>
    <row r="1800" spans="1:12">
      <c r="A1800" t="s">
        <v>1794</v>
      </c>
      <c r="B1800">
        <v>437767</v>
      </c>
      <c r="C1800" s="2" t="str">
        <f>"S104SC-PCP"</f>
        <v>S104SC-PCP</v>
      </c>
      <c r="D1800" t="s">
        <v>1839</v>
      </c>
      <c r="E1800" t="s">
        <v>4</v>
      </c>
      <c r="F1800">
        <v>0.96</v>
      </c>
      <c r="G1800">
        <v>0.08</v>
      </c>
      <c r="H1800" t="s">
        <v>106</v>
      </c>
      <c r="I1800" s="1">
        <v>4.5199999999999996</v>
      </c>
      <c r="J1800" s="1">
        <v>4.5199999999999996</v>
      </c>
      <c r="K1800" t="s">
        <v>21</v>
      </c>
      <c r="L1800" s="1">
        <v>4.5199999999999996</v>
      </c>
    </row>
    <row r="1801" spans="1:12">
      <c r="A1801" t="s">
        <v>1794</v>
      </c>
      <c r="B1801">
        <v>393400</v>
      </c>
      <c r="C1801" s="2" t="str">
        <f>"S107PCP"</f>
        <v>S107PCP</v>
      </c>
      <c r="D1801" t="s">
        <v>1840</v>
      </c>
      <c r="E1801" t="s">
        <v>4</v>
      </c>
      <c r="F1801">
        <v>0.96</v>
      </c>
      <c r="G1801">
        <v>0.08</v>
      </c>
      <c r="H1801" t="s">
        <v>106</v>
      </c>
      <c r="I1801" s="1">
        <v>6.24</v>
      </c>
      <c r="J1801" s="1">
        <v>6.24</v>
      </c>
      <c r="K1801" t="s">
        <v>21</v>
      </c>
      <c r="L1801" s="1">
        <v>6.24</v>
      </c>
    </row>
    <row r="1802" spans="1:12">
      <c r="A1802" t="s">
        <v>1794</v>
      </c>
      <c r="B1802">
        <v>393385</v>
      </c>
      <c r="C1802" s="2" t="str">
        <f>"S112-10PCP"</f>
        <v>S112-10PCP</v>
      </c>
      <c r="D1802" t="s">
        <v>1841</v>
      </c>
      <c r="E1802" t="s">
        <v>4</v>
      </c>
      <c r="F1802">
        <v>3.48</v>
      </c>
      <c r="G1802">
        <v>0.57999999999999996</v>
      </c>
      <c r="H1802" t="s">
        <v>20</v>
      </c>
      <c r="I1802" s="1">
        <v>25.25</v>
      </c>
      <c r="J1802" s="1">
        <v>25.25</v>
      </c>
      <c r="K1802" t="s">
        <v>21</v>
      </c>
      <c r="L1802" s="1">
        <v>25.25</v>
      </c>
    </row>
    <row r="1803" spans="1:12">
      <c r="A1803" t="s">
        <v>1794</v>
      </c>
      <c r="B1803">
        <v>393386</v>
      </c>
      <c r="C1803" s="2" t="str">
        <f>"S118-14DH"</f>
        <v>S118-14DH</v>
      </c>
      <c r="D1803" t="s">
        <v>1842</v>
      </c>
      <c r="E1803" t="s">
        <v>4</v>
      </c>
      <c r="F1803">
        <v>2.66</v>
      </c>
      <c r="G1803">
        <v>1.33</v>
      </c>
      <c r="H1803" t="s">
        <v>175</v>
      </c>
      <c r="I1803" s="1">
        <v>57.85</v>
      </c>
      <c r="J1803" s="1">
        <v>57.85</v>
      </c>
      <c r="K1803" t="s">
        <v>21</v>
      </c>
      <c r="L1803" s="1">
        <v>57.85</v>
      </c>
    </row>
    <row r="1804" spans="1:12">
      <c r="A1804" t="s">
        <v>1794</v>
      </c>
      <c r="B1804">
        <v>394297</v>
      </c>
      <c r="C1804" s="2" t="str">
        <f>"S121"</f>
        <v>S121</v>
      </c>
      <c r="D1804" t="s">
        <v>1843</v>
      </c>
      <c r="E1804" t="s">
        <v>4</v>
      </c>
      <c r="F1804">
        <v>1.02</v>
      </c>
      <c r="G1804">
        <v>0.17</v>
      </c>
      <c r="H1804" t="s">
        <v>20</v>
      </c>
      <c r="I1804" s="1">
        <v>10.43</v>
      </c>
      <c r="J1804" s="1">
        <v>10.43</v>
      </c>
      <c r="K1804" t="s">
        <v>21</v>
      </c>
      <c r="L1804" s="1">
        <v>10.43</v>
      </c>
    </row>
    <row r="1805" spans="1:12">
      <c r="A1805" t="s">
        <v>1794</v>
      </c>
      <c r="B1805">
        <v>393388</v>
      </c>
      <c r="C1805" s="2" t="str">
        <f>"S127PCP"</f>
        <v>S127PCP</v>
      </c>
      <c r="D1805" t="s">
        <v>1844</v>
      </c>
      <c r="E1805" t="s">
        <v>4</v>
      </c>
      <c r="F1805">
        <v>0.96</v>
      </c>
      <c r="G1805">
        <v>0.08</v>
      </c>
      <c r="H1805" t="s">
        <v>106</v>
      </c>
      <c r="I1805" s="1">
        <v>7.54</v>
      </c>
      <c r="J1805" s="1">
        <v>7.54</v>
      </c>
      <c r="K1805" t="s">
        <v>21</v>
      </c>
      <c r="L1805" s="1">
        <v>7.54</v>
      </c>
    </row>
    <row r="1806" spans="1:12">
      <c r="A1806" t="s">
        <v>1794</v>
      </c>
      <c r="B1806">
        <v>393374</v>
      </c>
      <c r="C1806" s="2" t="str">
        <f>"S131-6PCP"</f>
        <v>S131-6PCP</v>
      </c>
      <c r="D1806" t="s">
        <v>1845</v>
      </c>
      <c r="E1806" t="s">
        <v>4</v>
      </c>
      <c r="F1806">
        <v>1.62</v>
      </c>
      <c r="G1806">
        <v>0.27</v>
      </c>
      <c r="H1806" t="s">
        <v>20</v>
      </c>
      <c r="I1806" s="1">
        <v>14.17</v>
      </c>
      <c r="J1806" s="1">
        <v>14.17</v>
      </c>
      <c r="K1806" t="s">
        <v>21</v>
      </c>
      <c r="L1806" s="1">
        <v>14.17</v>
      </c>
    </row>
    <row r="1807" spans="1:12">
      <c r="A1807" t="s">
        <v>1794</v>
      </c>
      <c r="B1807">
        <v>393387</v>
      </c>
      <c r="C1807" s="2" t="str">
        <f>"S132-10PCP"</f>
        <v>S132-10PCP</v>
      </c>
      <c r="D1807" t="s">
        <v>1846</v>
      </c>
      <c r="E1807" t="s">
        <v>4</v>
      </c>
      <c r="F1807">
        <v>3.36</v>
      </c>
      <c r="G1807">
        <v>0.56000000000000005</v>
      </c>
      <c r="H1807" t="s">
        <v>20</v>
      </c>
      <c r="I1807" s="1">
        <v>26.65</v>
      </c>
      <c r="J1807" s="1">
        <v>26.65</v>
      </c>
      <c r="K1807" t="s">
        <v>21</v>
      </c>
      <c r="L1807" s="1">
        <v>26.65</v>
      </c>
    </row>
    <row r="1808" spans="1:12">
      <c r="A1808" t="s">
        <v>1794</v>
      </c>
      <c r="B1808">
        <v>393393</v>
      </c>
      <c r="C1808" s="2" t="str">
        <f>"S133-8PCP"</f>
        <v>S133-8PCP</v>
      </c>
      <c r="D1808" t="s">
        <v>1847</v>
      </c>
      <c r="E1808" t="s">
        <v>4</v>
      </c>
      <c r="F1808">
        <v>1.62</v>
      </c>
      <c r="G1808">
        <v>0.27</v>
      </c>
      <c r="H1808" t="s">
        <v>20</v>
      </c>
      <c r="I1808" s="1">
        <v>17.55</v>
      </c>
      <c r="J1808" s="1">
        <v>17.55</v>
      </c>
      <c r="K1808" t="s">
        <v>21</v>
      </c>
      <c r="L1808" s="1">
        <v>17.55</v>
      </c>
    </row>
    <row r="1809" spans="1:12">
      <c r="A1809" t="s">
        <v>1794</v>
      </c>
      <c r="B1809">
        <v>393378</v>
      </c>
      <c r="C1809" s="2" t="str">
        <f>"S136NPCP"</f>
        <v>S136NPCP</v>
      </c>
      <c r="D1809" t="s">
        <v>1848</v>
      </c>
      <c r="E1809" t="s">
        <v>4</v>
      </c>
      <c r="F1809">
        <v>1.62</v>
      </c>
      <c r="G1809">
        <v>0.27</v>
      </c>
      <c r="H1809" t="s">
        <v>20</v>
      </c>
      <c r="I1809" s="1">
        <v>14.95</v>
      </c>
      <c r="J1809" s="1">
        <v>14.95</v>
      </c>
      <c r="K1809" t="s">
        <v>21</v>
      </c>
      <c r="L1809" s="1">
        <v>14.95</v>
      </c>
    </row>
    <row r="1810" spans="1:12">
      <c r="A1810" t="s">
        <v>1794</v>
      </c>
      <c r="B1810">
        <v>393375</v>
      </c>
      <c r="C1810" s="2" t="str">
        <f>"S136PCP"</f>
        <v>S136PCP</v>
      </c>
      <c r="D1810" t="s">
        <v>1849</v>
      </c>
      <c r="E1810" t="s">
        <v>4</v>
      </c>
      <c r="F1810">
        <v>1.74</v>
      </c>
      <c r="G1810">
        <v>0.28999999999999998</v>
      </c>
      <c r="H1810" t="s">
        <v>20</v>
      </c>
      <c r="I1810" s="1">
        <v>14.53</v>
      </c>
      <c r="J1810" s="1">
        <v>14.53</v>
      </c>
      <c r="K1810" t="s">
        <v>21</v>
      </c>
      <c r="L1810" s="1">
        <v>14.53</v>
      </c>
    </row>
    <row r="1811" spans="1:12">
      <c r="A1811" t="s">
        <v>1794</v>
      </c>
      <c r="B1811">
        <v>394299</v>
      </c>
      <c r="C1811" s="2" t="str">
        <f>"S137PCP"</f>
        <v>S137PCP</v>
      </c>
      <c r="D1811" t="s">
        <v>1850</v>
      </c>
      <c r="E1811" t="s">
        <v>4</v>
      </c>
      <c r="F1811">
        <v>1.1399999999999999</v>
      </c>
      <c r="G1811">
        <v>0.19</v>
      </c>
      <c r="H1811" t="s">
        <v>20</v>
      </c>
      <c r="I1811" s="1">
        <v>11.15</v>
      </c>
      <c r="J1811" s="1">
        <v>11.15</v>
      </c>
      <c r="K1811" t="s">
        <v>21</v>
      </c>
      <c r="L1811" s="1">
        <v>11.15</v>
      </c>
    </row>
    <row r="1812" spans="1:12">
      <c r="A1812" t="s">
        <v>1794</v>
      </c>
      <c r="B1812">
        <v>437636</v>
      </c>
      <c r="C1812" s="2" t="str">
        <f>"S140-12PCP"</f>
        <v>S140-12PCP</v>
      </c>
      <c r="D1812" t="s">
        <v>1851</v>
      </c>
      <c r="E1812" t="s">
        <v>4</v>
      </c>
      <c r="F1812">
        <v>2.4</v>
      </c>
      <c r="G1812">
        <v>0.4</v>
      </c>
      <c r="H1812" t="s">
        <v>20</v>
      </c>
      <c r="I1812" s="1">
        <v>25.03</v>
      </c>
      <c r="J1812" s="1">
        <v>25.03</v>
      </c>
      <c r="K1812" t="s">
        <v>21</v>
      </c>
      <c r="L1812" s="1">
        <v>25.03</v>
      </c>
    </row>
    <row r="1813" spans="1:12">
      <c r="A1813" t="s">
        <v>1794</v>
      </c>
      <c r="B1813">
        <v>393413</v>
      </c>
      <c r="C1813" s="2" t="str">
        <f>"S140-12SCPCP"</f>
        <v>S140-12SCPCP</v>
      </c>
      <c r="D1813" t="s">
        <v>1852</v>
      </c>
      <c r="E1813" t="s">
        <v>4</v>
      </c>
      <c r="F1813">
        <v>2.52</v>
      </c>
      <c r="G1813">
        <v>0.42</v>
      </c>
      <c r="H1813" t="s">
        <v>20</v>
      </c>
      <c r="I1813" s="1">
        <v>24.86</v>
      </c>
      <c r="J1813" s="1">
        <v>24.86</v>
      </c>
      <c r="K1813" t="s">
        <v>21</v>
      </c>
      <c r="L1813" s="1">
        <v>24.86</v>
      </c>
    </row>
    <row r="1814" spans="1:12">
      <c r="A1814" t="s">
        <v>1794</v>
      </c>
      <c r="B1814">
        <v>393415</v>
      </c>
      <c r="C1814" s="2" t="str">
        <f>"S142-9SCPCP"</f>
        <v>S142-9SCPCP</v>
      </c>
      <c r="D1814" t="s">
        <v>1853</v>
      </c>
      <c r="E1814" t="s">
        <v>4</v>
      </c>
      <c r="F1814">
        <v>1.98</v>
      </c>
      <c r="G1814">
        <v>0.33</v>
      </c>
      <c r="H1814" t="s">
        <v>20</v>
      </c>
      <c r="I1814" s="1">
        <v>16.87</v>
      </c>
      <c r="J1814" s="1">
        <v>16.87</v>
      </c>
      <c r="K1814" t="s">
        <v>21</v>
      </c>
      <c r="L1814" s="1">
        <v>16.87</v>
      </c>
    </row>
    <row r="1815" spans="1:12">
      <c r="A1815" t="s">
        <v>1794</v>
      </c>
      <c r="B1815">
        <v>393389</v>
      </c>
      <c r="C1815" s="2" t="str">
        <f>"S145-10PCP"</f>
        <v>S145-10PCP</v>
      </c>
      <c r="D1815" t="s">
        <v>1816</v>
      </c>
      <c r="E1815" t="s">
        <v>4</v>
      </c>
      <c r="F1815">
        <v>3</v>
      </c>
      <c r="G1815">
        <v>0.5</v>
      </c>
      <c r="H1815" t="s">
        <v>20</v>
      </c>
      <c r="I1815" s="1">
        <v>26.65</v>
      </c>
      <c r="J1815" s="1">
        <v>26.65</v>
      </c>
      <c r="K1815" t="s">
        <v>21</v>
      </c>
      <c r="L1815" s="1">
        <v>26.65</v>
      </c>
    </row>
    <row r="1816" spans="1:12">
      <c r="A1816" t="s">
        <v>1794</v>
      </c>
      <c r="B1816">
        <v>397921</v>
      </c>
      <c r="C1816" s="2" t="str">
        <f>"S145-10SC-PCP"</f>
        <v>S145-10SC-PCP</v>
      </c>
      <c r="D1816" t="s">
        <v>1854</v>
      </c>
      <c r="E1816" t="s">
        <v>4</v>
      </c>
      <c r="F1816">
        <v>6</v>
      </c>
      <c r="G1816">
        <v>1</v>
      </c>
      <c r="H1816" t="s">
        <v>20</v>
      </c>
      <c r="I1816" s="1">
        <v>25.61</v>
      </c>
      <c r="J1816" s="1">
        <v>25.61</v>
      </c>
      <c r="K1816" t="s">
        <v>21</v>
      </c>
      <c r="L1816" s="1">
        <v>25.61</v>
      </c>
    </row>
    <row r="1817" spans="1:12">
      <c r="A1817" t="s">
        <v>1794</v>
      </c>
      <c r="B1817">
        <v>397924</v>
      </c>
      <c r="C1817" s="2" t="str">
        <f>"S145-12 PCP"</f>
        <v>S145-12 PCP</v>
      </c>
      <c r="D1817" t="s">
        <v>1855</v>
      </c>
      <c r="E1817" t="s">
        <v>4</v>
      </c>
      <c r="F1817">
        <v>7.26</v>
      </c>
      <c r="G1817">
        <v>1.21</v>
      </c>
      <c r="H1817" t="s">
        <v>20</v>
      </c>
      <c r="I1817" s="1">
        <v>30.88</v>
      </c>
      <c r="J1817" s="1">
        <v>30.88</v>
      </c>
      <c r="K1817" t="s">
        <v>21</v>
      </c>
      <c r="L1817" s="1">
        <v>30.88</v>
      </c>
    </row>
    <row r="1818" spans="1:12">
      <c r="A1818" t="s">
        <v>1794</v>
      </c>
      <c r="B1818">
        <v>393390</v>
      </c>
      <c r="C1818" s="2" t="str">
        <f>"S145-8PCP"</f>
        <v>S145-8PCP</v>
      </c>
      <c r="D1818" t="s">
        <v>1856</v>
      </c>
      <c r="E1818" t="s">
        <v>4</v>
      </c>
      <c r="F1818">
        <v>2.4</v>
      </c>
      <c r="G1818">
        <v>0.4</v>
      </c>
      <c r="H1818" t="s">
        <v>20</v>
      </c>
      <c r="I1818" s="1">
        <v>24.05</v>
      </c>
      <c r="J1818" s="1">
        <v>24.05</v>
      </c>
      <c r="K1818" t="s">
        <v>21</v>
      </c>
      <c r="L1818" s="1">
        <v>24.05</v>
      </c>
    </row>
    <row r="1819" spans="1:12">
      <c r="A1819" t="s">
        <v>1794</v>
      </c>
      <c r="B1819">
        <v>393383</v>
      </c>
      <c r="C1819" s="2" t="str">
        <f>"S147-10SCPCP"</f>
        <v>S147-10SCPCP</v>
      </c>
      <c r="D1819" t="s">
        <v>1857</v>
      </c>
      <c r="E1819" t="s">
        <v>4</v>
      </c>
      <c r="F1819">
        <v>1.74</v>
      </c>
      <c r="G1819">
        <v>0.28999999999999998</v>
      </c>
      <c r="H1819" t="s">
        <v>20</v>
      </c>
      <c r="I1819" s="1">
        <v>19.829999999999998</v>
      </c>
      <c r="J1819" s="1">
        <v>19.829999999999998</v>
      </c>
      <c r="K1819" t="s">
        <v>21</v>
      </c>
      <c r="L1819" s="1">
        <v>19.829999999999998</v>
      </c>
    </row>
    <row r="1820" spans="1:12">
      <c r="A1820" t="s">
        <v>1794</v>
      </c>
      <c r="B1820">
        <v>393407</v>
      </c>
      <c r="C1820" s="2" t="str">
        <f>"S154HGPCP"</f>
        <v>S154HGPCP</v>
      </c>
      <c r="D1820" t="s">
        <v>1858</v>
      </c>
      <c r="E1820" t="s">
        <v>4</v>
      </c>
      <c r="F1820">
        <v>1.56</v>
      </c>
      <c r="G1820">
        <v>0.13</v>
      </c>
      <c r="H1820" t="s">
        <v>106</v>
      </c>
      <c r="I1820" s="1">
        <v>11.54</v>
      </c>
      <c r="J1820" s="1">
        <v>11.54</v>
      </c>
      <c r="K1820" t="s">
        <v>21</v>
      </c>
      <c r="L1820" s="1">
        <v>11.54</v>
      </c>
    </row>
    <row r="1821" spans="1:12">
      <c r="A1821" t="s">
        <v>1794</v>
      </c>
      <c r="B1821">
        <v>393337</v>
      </c>
      <c r="C1821" s="2" t="str">
        <f>"S156SCPCP"</f>
        <v>S156SCPCP</v>
      </c>
      <c r="D1821" t="s">
        <v>1859</v>
      </c>
      <c r="E1821" t="s">
        <v>4</v>
      </c>
      <c r="F1821">
        <v>1.02</v>
      </c>
      <c r="G1821">
        <v>0.17</v>
      </c>
      <c r="H1821" t="s">
        <v>20</v>
      </c>
      <c r="I1821" s="1">
        <v>11.28</v>
      </c>
      <c r="J1821" s="1">
        <v>11.28</v>
      </c>
      <c r="K1821" t="s">
        <v>21</v>
      </c>
      <c r="L1821" s="1">
        <v>11.28</v>
      </c>
    </row>
    <row r="1822" spans="1:12">
      <c r="A1822" t="s">
        <v>1794</v>
      </c>
      <c r="B1822">
        <v>393416</v>
      </c>
      <c r="C1822" s="2" t="str">
        <f>"S158SCPCP"</f>
        <v>S158SCPCP</v>
      </c>
      <c r="D1822" t="s">
        <v>1860</v>
      </c>
      <c r="E1822" t="s">
        <v>4</v>
      </c>
      <c r="F1822">
        <v>1.1399999999999999</v>
      </c>
      <c r="G1822">
        <v>0.19</v>
      </c>
      <c r="H1822" t="s">
        <v>20</v>
      </c>
      <c r="I1822" s="1">
        <v>14.14</v>
      </c>
      <c r="J1822" s="1">
        <v>14.14</v>
      </c>
      <c r="K1822" t="s">
        <v>21</v>
      </c>
      <c r="L1822" s="1">
        <v>14.14</v>
      </c>
    </row>
    <row r="1823" spans="1:12">
      <c r="A1823" t="s">
        <v>1794</v>
      </c>
      <c r="B1823">
        <v>393397</v>
      </c>
      <c r="C1823" s="2" t="str">
        <f>"S160-16"</f>
        <v>S160-16</v>
      </c>
      <c r="D1823" t="s">
        <v>1861</v>
      </c>
      <c r="E1823" t="s">
        <v>4</v>
      </c>
      <c r="F1823">
        <v>7.02</v>
      </c>
      <c r="G1823">
        <v>1.17</v>
      </c>
      <c r="H1823" t="s">
        <v>20</v>
      </c>
      <c r="I1823" s="1">
        <v>41.11</v>
      </c>
      <c r="J1823" s="1">
        <v>41.11</v>
      </c>
      <c r="K1823" t="s">
        <v>21</v>
      </c>
      <c r="L1823" s="1">
        <v>41.11</v>
      </c>
    </row>
    <row r="1824" spans="1:12">
      <c r="A1824" t="s">
        <v>1794</v>
      </c>
      <c r="B1824">
        <v>393401</v>
      </c>
      <c r="C1824" s="2" t="str">
        <f>"S160-18"</f>
        <v>S160-18</v>
      </c>
      <c r="D1824" t="s">
        <v>1862</v>
      </c>
      <c r="E1824" t="s">
        <v>4</v>
      </c>
      <c r="F1824">
        <v>7.62</v>
      </c>
      <c r="G1824">
        <v>1.27</v>
      </c>
      <c r="H1824" t="s">
        <v>20</v>
      </c>
      <c r="I1824" s="1">
        <v>47.78</v>
      </c>
      <c r="J1824" s="1">
        <v>47.78</v>
      </c>
      <c r="K1824" t="s">
        <v>21</v>
      </c>
      <c r="L1824" s="1">
        <v>47.78</v>
      </c>
    </row>
    <row r="1825" spans="1:12">
      <c r="A1825" t="s">
        <v>1794</v>
      </c>
      <c r="B1825">
        <v>393405</v>
      </c>
      <c r="C1825" s="2" t="str">
        <f>"S161"</f>
        <v>S161</v>
      </c>
      <c r="D1825" t="s">
        <v>1863</v>
      </c>
      <c r="E1825" t="s">
        <v>4</v>
      </c>
      <c r="F1825">
        <v>1.74</v>
      </c>
      <c r="G1825">
        <v>0.28999999999999998</v>
      </c>
      <c r="H1825" t="s">
        <v>20</v>
      </c>
      <c r="I1825" s="1">
        <v>12.03</v>
      </c>
      <c r="J1825" s="1">
        <v>12.03</v>
      </c>
      <c r="K1825" t="s">
        <v>21</v>
      </c>
      <c r="L1825" s="1">
        <v>12.03</v>
      </c>
    </row>
    <row r="1826" spans="1:12">
      <c r="A1826" t="s">
        <v>1794</v>
      </c>
      <c r="B1826">
        <v>437647</v>
      </c>
      <c r="C1826" s="2" t="str">
        <f>"S162-8SC-CP"</f>
        <v>S162-8SC-CP</v>
      </c>
      <c r="D1826" t="s">
        <v>1864</v>
      </c>
      <c r="E1826" t="s">
        <v>4</v>
      </c>
      <c r="F1826">
        <v>2.2799999999999998</v>
      </c>
      <c r="G1826">
        <v>0.38</v>
      </c>
      <c r="H1826" t="s">
        <v>20</v>
      </c>
      <c r="I1826" s="1">
        <v>14.2</v>
      </c>
      <c r="J1826" s="1">
        <v>14.2</v>
      </c>
      <c r="K1826" t="s">
        <v>21</v>
      </c>
      <c r="L1826" s="1">
        <v>14.2</v>
      </c>
    </row>
    <row r="1827" spans="1:12">
      <c r="A1827" t="s">
        <v>1794</v>
      </c>
      <c r="B1827">
        <v>393382</v>
      </c>
      <c r="C1827" s="2" t="str">
        <f>"S162-8SCPCP"</f>
        <v>S162-8SCPCP</v>
      </c>
      <c r="D1827" t="s">
        <v>1817</v>
      </c>
      <c r="E1827" t="s">
        <v>4</v>
      </c>
      <c r="F1827">
        <v>1.86</v>
      </c>
      <c r="G1827">
        <v>0.31</v>
      </c>
      <c r="H1827" t="s">
        <v>20</v>
      </c>
      <c r="I1827" s="1">
        <v>14.2</v>
      </c>
      <c r="J1827" s="1">
        <v>14.2</v>
      </c>
      <c r="K1827" t="s">
        <v>21</v>
      </c>
      <c r="L1827" s="1">
        <v>14.2</v>
      </c>
    </row>
    <row r="1828" spans="1:12">
      <c r="A1828" t="s">
        <v>1794</v>
      </c>
      <c r="B1828">
        <v>429560</v>
      </c>
      <c r="C1828" s="2" t="str">
        <f>"S163-7SC/9SC"</f>
        <v>S163-7SC/9SC</v>
      </c>
      <c r="D1828" t="s">
        <v>1865</v>
      </c>
      <c r="E1828" t="s">
        <v>4</v>
      </c>
      <c r="F1828">
        <v>3.24</v>
      </c>
      <c r="G1828">
        <v>0.54</v>
      </c>
      <c r="H1828" t="s">
        <v>20</v>
      </c>
      <c r="I1828" s="1">
        <v>28.28</v>
      </c>
      <c r="J1828" s="1">
        <v>28.28</v>
      </c>
      <c r="K1828" t="s">
        <v>1866</v>
      </c>
      <c r="L1828" s="1">
        <v>28.28</v>
      </c>
    </row>
    <row r="1829" spans="1:12">
      <c r="A1829" t="s">
        <v>1794</v>
      </c>
      <c r="B1829">
        <v>393395</v>
      </c>
      <c r="C1829" s="2" t="str">
        <f>"S163-9SCPCP"</f>
        <v>S163-9SCPCP</v>
      </c>
      <c r="D1829" t="s">
        <v>1867</v>
      </c>
      <c r="E1829" t="s">
        <v>4</v>
      </c>
      <c r="F1829">
        <v>1.62</v>
      </c>
      <c r="G1829">
        <v>0.27</v>
      </c>
      <c r="H1829" t="s">
        <v>20</v>
      </c>
      <c r="I1829" s="1">
        <v>15.28</v>
      </c>
      <c r="J1829" s="1">
        <v>15.28</v>
      </c>
      <c r="K1829" t="s">
        <v>21</v>
      </c>
      <c r="L1829" s="1">
        <v>15.28</v>
      </c>
    </row>
    <row r="1830" spans="1:12">
      <c r="A1830" t="s">
        <v>1794</v>
      </c>
      <c r="B1830">
        <v>397922</v>
      </c>
      <c r="C1830" s="2" t="str">
        <f>"S170"</f>
        <v>S170</v>
      </c>
      <c r="D1830" t="s">
        <v>1868</v>
      </c>
      <c r="E1830" t="s">
        <v>4</v>
      </c>
      <c r="F1830">
        <v>0.96</v>
      </c>
      <c r="G1830">
        <v>0.08</v>
      </c>
      <c r="H1830" t="s">
        <v>106</v>
      </c>
      <c r="I1830" s="1">
        <v>2.83</v>
      </c>
      <c r="J1830" s="1">
        <v>2.83</v>
      </c>
      <c r="K1830" t="s">
        <v>457</v>
      </c>
      <c r="L1830" s="1">
        <v>2.83</v>
      </c>
    </row>
    <row r="1831" spans="1:12">
      <c r="A1831" t="s">
        <v>1794</v>
      </c>
      <c r="B1831">
        <v>423639</v>
      </c>
      <c r="C1831" s="2" t="str">
        <f>"S170L-3"</f>
        <v>S170L-3</v>
      </c>
      <c r="D1831" t="s">
        <v>1869</v>
      </c>
      <c r="E1831" t="s">
        <v>4</v>
      </c>
      <c r="F1831">
        <v>3.48</v>
      </c>
      <c r="G1831">
        <v>0.28999999999999998</v>
      </c>
      <c r="H1831" t="s">
        <v>106</v>
      </c>
      <c r="I1831" s="1">
        <v>9.26</v>
      </c>
      <c r="J1831" s="1">
        <v>9.26</v>
      </c>
      <c r="K1831" t="s">
        <v>1870</v>
      </c>
      <c r="L1831" s="1">
        <v>9.26</v>
      </c>
    </row>
    <row r="1832" spans="1:12">
      <c r="A1832" t="s">
        <v>1794</v>
      </c>
      <c r="B1832">
        <v>437899</v>
      </c>
      <c r="C1832" s="2" t="str">
        <f>"S171CP"</f>
        <v>S171CP</v>
      </c>
      <c r="D1832" t="s">
        <v>1871</v>
      </c>
      <c r="E1832" t="s">
        <v>4</v>
      </c>
      <c r="F1832">
        <v>1.02</v>
      </c>
      <c r="G1832">
        <v>0.17</v>
      </c>
      <c r="H1832" t="s">
        <v>20</v>
      </c>
      <c r="I1832" s="1">
        <v>9.26</v>
      </c>
      <c r="J1832" s="1">
        <v>9.26</v>
      </c>
      <c r="K1832" t="s">
        <v>21</v>
      </c>
      <c r="L1832" s="1">
        <v>9.26</v>
      </c>
    </row>
    <row r="1833" spans="1:12">
      <c r="A1833" t="s">
        <v>1794</v>
      </c>
      <c r="B1833">
        <v>437905</v>
      </c>
      <c r="C1833" s="2" t="str">
        <f>"S1721/2CP"</f>
        <v>S1721/2CP</v>
      </c>
      <c r="D1833" t="s">
        <v>1872</v>
      </c>
      <c r="E1833" t="s">
        <v>4</v>
      </c>
      <c r="F1833">
        <v>1.5</v>
      </c>
      <c r="G1833">
        <v>0.25</v>
      </c>
      <c r="H1833" t="s">
        <v>20</v>
      </c>
      <c r="I1833" s="1">
        <v>12.19</v>
      </c>
      <c r="J1833" s="1">
        <v>12.19</v>
      </c>
      <c r="K1833" t="s">
        <v>21</v>
      </c>
      <c r="L1833" s="1">
        <v>12.19</v>
      </c>
    </row>
    <row r="1834" spans="1:12">
      <c r="A1834" t="s">
        <v>1794</v>
      </c>
      <c r="B1834">
        <v>435463</v>
      </c>
      <c r="C1834" s="2" t="str">
        <f>"S172CP"</f>
        <v>S172CP</v>
      </c>
      <c r="D1834" t="s">
        <v>1873</v>
      </c>
      <c r="E1834" t="s">
        <v>4</v>
      </c>
      <c r="F1834">
        <v>1.38</v>
      </c>
      <c r="G1834">
        <v>0.23</v>
      </c>
      <c r="H1834" t="s">
        <v>20</v>
      </c>
      <c r="I1834" s="1">
        <v>11.86</v>
      </c>
      <c r="J1834" s="1">
        <v>11.86</v>
      </c>
      <c r="K1834" t="s">
        <v>457</v>
      </c>
      <c r="L1834" s="1">
        <v>11.86</v>
      </c>
    </row>
    <row r="1835" spans="1:12">
      <c r="A1835" t="s">
        <v>1794</v>
      </c>
      <c r="B1835">
        <v>393410</v>
      </c>
      <c r="C1835" s="2" t="str">
        <f>"S173PCP"</f>
        <v>S173PCP</v>
      </c>
      <c r="D1835" t="s">
        <v>1874</v>
      </c>
      <c r="E1835" t="s">
        <v>4</v>
      </c>
      <c r="F1835">
        <v>0.96</v>
      </c>
      <c r="G1835">
        <v>0.08</v>
      </c>
      <c r="H1835" t="s">
        <v>106</v>
      </c>
      <c r="I1835" s="1">
        <v>7.38</v>
      </c>
      <c r="J1835" s="1">
        <v>7.38</v>
      </c>
      <c r="K1835" t="s">
        <v>21</v>
      </c>
      <c r="L1835" s="1">
        <v>7.38</v>
      </c>
    </row>
    <row r="1836" spans="1:12">
      <c r="A1836" t="s">
        <v>1794</v>
      </c>
      <c r="B1836">
        <v>431475</v>
      </c>
      <c r="C1836" s="2" t="str">
        <f>"S173SC-3RYG"</f>
        <v>S173SC-3RYG</v>
      </c>
      <c r="D1836" t="s">
        <v>1875</v>
      </c>
      <c r="E1836" t="s">
        <v>4</v>
      </c>
      <c r="F1836">
        <v>2.48</v>
      </c>
      <c r="G1836">
        <v>0.31</v>
      </c>
      <c r="H1836" t="s">
        <v>1456</v>
      </c>
      <c r="I1836" s="1">
        <v>24.34</v>
      </c>
      <c r="J1836" s="1">
        <v>24.34</v>
      </c>
      <c r="K1836" t="s">
        <v>1866</v>
      </c>
      <c r="L1836" s="1">
        <v>24.34</v>
      </c>
    </row>
    <row r="1837" spans="1:12">
      <c r="A1837" t="s">
        <v>1794</v>
      </c>
      <c r="B1837">
        <v>437855</v>
      </c>
      <c r="C1837" s="2" t="str">
        <f>"S173SC-CP"</f>
        <v>S173SC-CP</v>
      </c>
      <c r="D1837" t="s">
        <v>1876</v>
      </c>
      <c r="E1837" t="s">
        <v>4</v>
      </c>
      <c r="F1837">
        <v>0.78</v>
      </c>
      <c r="G1837">
        <v>0.13</v>
      </c>
      <c r="H1837" t="s">
        <v>20</v>
      </c>
      <c r="I1837" s="1">
        <v>7.96</v>
      </c>
      <c r="J1837" s="1">
        <v>7.96</v>
      </c>
      <c r="K1837" t="s">
        <v>21</v>
      </c>
      <c r="L1837" s="1">
        <v>7.96</v>
      </c>
    </row>
    <row r="1838" spans="1:12">
      <c r="A1838" t="s">
        <v>1794</v>
      </c>
      <c r="B1838">
        <v>393411</v>
      </c>
      <c r="C1838" s="2" t="str">
        <f>"S173SCPCP"</f>
        <v>S173SCPCP</v>
      </c>
      <c r="D1838" t="s">
        <v>1877</v>
      </c>
      <c r="E1838" t="s">
        <v>4</v>
      </c>
      <c r="F1838">
        <v>0.96</v>
      </c>
      <c r="G1838">
        <v>0.08</v>
      </c>
      <c r="H1838" t="s">
        <v>106</v>
      </c>
      <c r="I1838" s="1">
        <v>7.96</v>
      </c>
      <c r="J1838" s="1">
        <v>7.96</v>
      </c>
      <c r="K1838" t="s">
        <v>21</v>
      </c>
      <c r="L1838" s="1">
        <v>7.96</v>
      </c>
    </row>
    <row r="1839" spans="1:12">
      <c r="A1839" t="s">
        <v>1794</v>
      </c>
      <c r="B1839">
        <v>437683</v>
      </c>
      <c r="C1839" s="2" t="str">
        <f>"S174CP"</f>
        <v>S174CP</v>
      </c>
      <c r="D1839" t="s">
        <v>1878</v>
      </c>
      <c r="E1839" t="s">
        <v>4</v>
      </c>
      <c r="F1839">
        <v>1.02</v>
      </c>
      <c r="G1839">
        <v>0.17</v>
      </c>
      <c r="H1839" t="s">
        <v>20</v>
      </c>
      <c r="I1839" s="1">
        <v>11.67</v>
      </c>
      <c r="J1839" s="1">
        <v>11.67</v>
      </c>
      <c r="K1839" t="s">
        <v>21</v>
      </c>
      <c r="L1839" s="1">
        <v>11.67</v>
      </c>
    </row>
    <row r="1840" spans="1:12">
      <c r="A1840" t="s">
        <v>1794</v>
      </c>
      <c r="B1840">
        <v>437542</v>
      </c>
      <c r="C1840" s="2" t="str">
        <f>"S175"</f>
        <v>S175</v>
      </c>
      <c r="D1840" t="s">
        <v>1879</v>
      </c>
      <c r="E1840" t="s">
        <v>4</v>
      </c>
      <c r="F1840">
        <v>3</v>
      </c>
      <c r="G1840">
        <v>0.25</v>
      </c>
      <c r="H1840" t="s">
        <v>106</v>
      </c>
      <c r="I1840" s="1">
        <v>12.64</v>
      </c>
      <c r="J1840" s="1">
        <v>12.64</v>
      </c>
      <c r="K1840" t="s">
        <v>21</v>
      </c>
      <c r="L1840" s="1">
        <v>12.64</v>
      </c>
    </row>
    <row r="1841" spans="1:12">
      <c r="A1841" t="s">
        <v>1794</v>
      </c>
      <c r="B1841">
        <v>393406</v>
      </c>
      <c r="C1841" s="2" t="str">
        <f>"S176CP"</f>
        <v>S176CP</v>
      </c>
      <c r="D1841" t="s">
        <v>1880</v>
      </c>
      <c r="E1841" t="s">
        <v>4</v>
      </c>
      <c r="F1841">
        <v>3.12</v>
      </c>
      <c r="G1841">
        <v>0.52</v>
      </c>
      <c r="H1841" t="s">
        <v>20</v>
      </c>
      <c r="I1841" s="1">
        <v>17.23</v>
      </c>
      <c r="J1841" s="1">
        <v>17.23</v>
      </c>
      <c r="K1841" t="s">
        <v>21</v>
      </c>
      <c r="L1841" s="1">
        <v>17.23</v>
      </c>
    </row>
    <row r="1842" spans="1:12">
      <c r="A1842" t="s">
        <v>1794</v>
      </c>
      <c r="B1842">
        <v>393348</v>
      </c>
      <c r="C1842" s="2" t="str">
        <f>"S182-1/2"</f>
        <v>S182-1/2</v>
      </c>
      <c r="D1842" t="s">
        <v>1881</v>
      </c>
      <c r="E1842" t="s">
        <v>4</v>
      </c>
      <c r="F1842">
        <v>2.52</v>
      </c>
      <c r="G1842">
        <v>0.21</v>
      </c>
      <c r="H1842" t="s">
        <v>106</v>
      </c>
      <c r="I1842" s="1">
        <v>12.19</v>
      </c>
      <c r="J1842" s="1">
        <v>12.19</v>
      </c>
      <c r="K1842" t="s">
        <v>21</v>
      </c>
      <c r="L1842" s="1">
        <v>12.19</v>
      </c>
    </row>
    <row r="1843" spans="1:12">
      <c r="A1843" t="s">
        <v>1794</v>
      </c>
      <c r="B1843">
        <v>458552</v>
      </c>
      <c r="C1843" s="2" t="str">
        <f>"S185"</f>
        <v>S185</v>
      </c>
      <c r="D1843" t="s">
        <v>1882</v>
      </c>
      <c r="E1843" t="s">
        <v>4</v>
      </c>
      <c r="F1843">
        <v>2.04</v>
      </c>
      <c r="G1843">
        <v>0.17</v>
      </c>
      <c r="H1843" t="s">
        <v>106</v>
      </c>
      <c r="I1843" s="1">
        <v>11.9</v>
      </c>
      <c r="J1843" s="1">
        <v>11.9</v>
      </c>
      <c r="K1843" t="s">
        <v>457</v>
      </c>
      <c r="L1843" s="1">
        <v>11.9</v>
      </c>
    </row>
    <row r="1844" spans="1:12">
      <c r="A1844" t="s">
        <v>1794</v>
      </c>
      <c r="B1844">
        <v>393409</v>
      </c>
      <c r="C1844" s="2" t="str">
        <f>"S186CP"</f>
        <v>S186CP</v>
      </c>
      <c r="D1844" t="s">
        <v>1883</v>
      </c>
      <c r="E1844" t="s">
        <v>4</v>
      </c>
      <c r="F1844">
        <v>1.98</v>
      </c>
      <c r="G1844">
        <v>0.33</v>
      </c>
      <c r="H1844" t="s">
        <v>20</v>
      </c>
      <c r="I1844" s="1">
        <v>12.68</v>
      </c>
      <c r="J1844" s="1">
        <v>12.68</v>
      </c>
      <c r="K1844" t="s">
        <v>21</v>
      </c>
      <c r="L1844" s="1">
        <v>12.68</v>
      </c>
    </row>
    <row r="1845" spans="1:12">
      <c r="A1845" t="s">
        <v>1794</v>
      </c>
      <c r="B1845">
        <v>437813</v>
      </c>
      <c r="C1845" s="2" t="str">
        <f>"S196CP"</f>
        <v>S196CP</v>
      </c>
      <c r="D1845" t="s">
        <v>1884</v>
      </c>
      <c r="E1845" t="s">
        <v>4</v>
      </c>
      <c r="F1845">
        <v>4.8</v>
      </c>
      <c r="G1845">
        <v>0.4</v>
      </c>
      <c r="H1845" t="s">
        <v>106</v>
      </c>
      <c r="I1845" s="1">
        <v>7.77</v>
      </c>
      <c r="J1845" s="1">
        <v>7.77</v>
      </c>
      <c r="K1845" t="s">
        <v>21</v>
      </c>
      <c r="L1845" s="1">
        <v>7.77</v>
      </c>
    </row>
    <row r="1846" spans="1:12">
      <c r="A1846" t="s">
        <v>1794</v>
      </c>
      <c r="B1846">
        <v>393315</v>
      </c>
      <c r="C1846" s="2" t="str">
        <f>"S197"</f>
        <v>S197</v>
      </c>
      <c r="D1846" t="s">
        <v>1885</v>
      </c>
      <c r="E1846" t="s">
        <v>4</v>
      </c>
      <c r="F1846">
        <v>0.72</v>
      </c>
      <c r="G1846">
        <v>0.06</v>
      </c>
      <c r="H1846" t="s">
        <v>106</v>
      </c>
      <c r="I1846" s="1">
        <v>8.42</v>
      </c>
      <c r="J1846" s="1">
        <v>8.42</v>
      </c>
      <c r="K1846" t="s">
        <v>21</v>
      </c>
      <c r="L1846" s="1">
        <v>8.42</v>
      </c>
    </row>
    <row r="1847" spans="1:12">
      <c r="A1847" t="s">
        <v>1794</v>
      </c>
      <c r="B1847">
        <v>393394</v>
      </c>
      <c r="C1847" s="2" t="str">
        <f>"S205 PCP"</f>
        <v>S205 PCP</v>
      </c>
      <c r="D1847" t="s">
        <v>1886</v>
      </c>
      <c r="E1847" t="s">
        <v>4</v>
      </c>
      <c r="F1847">
        <v>1.62</v>
      </c>
      <c r="G1847">
        <v>0.27</v>
      </c>
      <c r="H1847" t="s">
        <v>20</v>
      </c>
      <c r="I1847" s="1">
        <v>16.87</v>
      </c>
      <c r="J1847" s="1">
        <v>16.87</v>
      </c>
      <c r="K1847" t="s">
        <v>21</v>
      </c>
      <c r="L1847" s="1">
        <v>16.87</v>
      </c>
    </row>
    <row r="1848" spans="1:12">
      <c r="A1848" t="s">
        <v>1794</v>
      </c>
      <c r="B1848">
        <v>435457</v>
      </c>
      <c r="C1848" s="2" t="str">
        <f>"S240CP"</f>
        <v>S240CP</v>
      </c>
      <c r="D1848" t="s">
        <v>1887</v>
      </c>
      <c r="E1848" t="s">
        <v>4</v>
      </c>
      <c r="F1848">
        <v>1.5</v>
      </c>
      <c r="G1848">
        <v>0.25</v>
      </c>
      <c r="H1848" t="s">
        <v>20</v>
      </c>
      <c r="I1848" s="1">
        <v>9.49</v>
      </c>
      <c r="J1848" s="1">
        <v>9.49</v>
      </c>
      <c r="K1848" t="s">
        <v>457</v>
      </c>
      <c r="L1848" s="1">
        <v>9.49</v>
      </c>
    </row>
    <row r="1849" spans="1:12">
      <c r="A1849" t="s">
        <v>1794</v>
      </c>
      <c r="B1849">
        <v>393335</v>
      </c>
      <c r="C1849" s="2" t="str">
        <f>"S242 1/2CP"</f>
        <v>S242 1/2CP</v>
      </c>
      <c r="D1849" t="s">
        <v>1888</v>
      </c>
      <c r="E1849" t="s">
        <v>4</v>
      </c>
      <c r="F1849">
        <v>1.1399999999999999</v>
      </c>
      <c r="G1849">
        <v>0.19</v>
      </c>
      <c r="H1849" t="s">
        <v>20</v>
      </c>
      <c r="I1849" s="1">
        <v>12.68</v>
      </c>
      <c r="J1849" s="1">
        <v>12.68</v>
      </c>
      <c r="K1849" t="s">
        <v>21</v>
      </c>
      <c r="L1849" s="1">
        <v>12.68</v>
      </c>
    </row>
    <row r="1850" spans="1:12">
      <c r="A1850" t="s">
        <v>1794</v>
      </c>
      <c r="B1850">
        <v>435458</v>
      </c>
      <c r="C1850" s="2" t="str">
        <f>"S242CP"</f>
        <v>S242CP</v>
      </c>
      <c r="D1850" t="s">
        <v>1873</v>
      </c>
      <c r="E1850" t="s">
        <v>4</v>
      </c>
      <c r="F1850">
        <v>1.38</v>
      </c>
      <c r="G1850">
        <v>0.23</v>
      </c>
      <c r="H1850" t="s">
        <v>20</v>
      </c>
      <c r="I1850" s="1">
        <v>12.51</v>
      </c>
      <c r="J1850" s="1">
        <v>12.51</v>
      </c>
      <c r="K1850" t="s">
        <v>457</v>
      </c>
      <c r="L1850" s="1">
        <v>12.51</v>
      </c>
    </row>
    <row r="1851" spans="1:12">
      <c r="A1851" t="s">
        <v>1794</v>
      </c>
      <c r="B1851">
        <v>435453</v>
      </c>
      <c r="C1851" s="2" t="str">
        <f>"S244CP"</f>
        <v>S244CP</v>
      </c>
      <c r="D1851" t="s">
        <v>1889</v>
      </c>
      <c r="E1851" t="s">
        <v>4</v>
      </c>
      <c r="F1851">
        <v>1.5</v>
      </c>
      <c r="G1851">
        <v>0.25</v>
      </c>
      <c r="H1851" t="s">
        <v>20</v>
      </c>
      <c r="I1851" s="1">
        <v>11.44</v>
      </c>
      <c r="J1851" s="1">
        <v>11.44</v>
      </c>
      <c r="K1851" t="s">
        <v>457</v>
      </c>
      <c r="L1851" s="1">
        <v>11.44</v>
      </c>
    </row>
    <row r="1852" spans="1:12">
      <c r="A1852" t="s">
        <v>1794</v>
      </c>
      <c r="B1852">
        <v>393317</v>
      </c>
      <c r="C1852" s="2" t="str">
        <f>"S245RPCP"</f>
        <v>S245RPCP</v>
      </c>
      <c r="D1852" t="s">
        <v>1890</v>
      </c>
      <c r="E1852" t="s">
        <v>4</v>
      </c>
      <c r="F1852">
        <v>3</v>
      </c>
      <c r="G1852">
        <v>0.25</v>
      </c>
      <c r="H1852" t="s">
        <v>106</v>
      </c>
      <c r="I1852" s="1">
        <v>13.98</v>
      </c>
      <c r="J1852" s="1">
        <v>13.98</v>
      </c>
      <c r="K1852" t="s">
        <v>21</v>
      </c>
      <c r="L1852" s="1">
        <v>13.98</v>
      </c>
    </row>
    <row r="1853" spans="1:12">
      <c r="A1853" t="s">
        <v>1794</v>
      </c>
      <c r="B1853">
        <v>393325</v>
      </c>
      <c r="C1853" s="2" t="str">
        <f>"S24910B"</f>
        <v>S24910B</v>
      </c>
      <c r="D1853" t="s">
        <v>1891</v>
      </c>
      <c r="E1853" t="s">
        <v>4</v>
      </c>
      <c r="F1853">
        <v>2.2799999999999998</v>
      </c>
      <c r="G1853">
        <v>0.38</v>
      </c>
      <c r="H1853" t="s">
        <v>20</v>
      </c>
      <c r="I1853" s="1">
        <v>21.94</v>
      </c>
      <c r="J1853" s="1">
        <v>21.94</v>
      </c>
      <c r="K1853" t="s">
        <v>21</v>
      </c>
      <c r="L1853" s="1">
        <v>21.94</v>
      </c>
    </row>
    <row r="1854" spans="1:12">
      <c r="A1854" t="s">
        <v>1794</v>
      </c>
      <c r="B1854">
        <v>397923</v>
      </c>
      <c r="C1854" s="2" t="str">
        <f>"S2493 1/2"</f>
        <v>S2493 1/2</v>
      </c>
      <c r="D1854" t="s">
        <v>1892</v>
      </c>
      <c r="E1854" t="s">
        <v>4</v>
      </c>
      <c r="F1854">
        <v>1.56</v>
      </c>
      <c r="G1854">
        <v>0.13</v>
      </c>
      <c r="H1854" t="s">
        <v>106</v>
      </c>
      <c r="I1854" s="1">
        <v>8.52</v>
      </c>
      <c r="J1854" s="1">
        <v>8.52</v>
      </c>
      <c r="K1854" t="s">
        <v>21</v>
      </c>
      <c r="L1854" s="1">
        <v>8.52</v>
      </c>
    </row>
    <row r="1855" spans="1:12">
      <c r="A1855" t="s">
        <v>1794</v>
      </c>
      <c r="B1855">
        <v>393321</v>
      </c>
      <c r="C1855" s="2" t="str">
        <f>"S2493-1/2SC"</f>
        <v>S2493-1/2SC</v>
      </c>
      <c r="D1855" t="s">
        <v>1893</v>
      </c>
      <c r="E1855" t="s">
        <v>4</v>
      </c>
      <c r="F1855">
        <v>1.56</v>
      </c>
      <c r="G1855">
        <v>0.13</v>
      </c>
      <c r="H1855" t="s">
        <v>106</v>
      </c>
      <c r="I1855" s="1">
        <v>9.26</v>
      </c>
      <c r="J1855" s="1">
        <v>9.26</v>
      </c>
      <c r="K1855" t="s">
        <v>21</v>
      </c>
      <c r="L1855" s="1">
        <v>9.26</v>
      </c>
    </row>
    <row r="1856" spans="1:12">
      <c r="A1856" t="s">
        <v>1794</v>
      </c>
      <c r="B1856">
        <v>394301</v>
      </c>
      <c r="C1856" s="2" t="str">
        <f>"S2496 1/2"</f>
        <v>S2496 1/2</v>
      </c>
      <c r="D1856" t="s">
        <v>1894</v>
      </c>
      <c r="E1856" t="s">
        <v>4</v>
      </c>
      <c r="F1856">
        <v>3.96</v>
      </c>
      <c r="G1856">
        <v>0.33</v>
      </c>
      <c r="H1856" t="s">
        <v>106</v>
      </c>
      <c r="I1856" s="1">
        <v>12.38</v>
      </c>
      <c r="J1856" s="1">
        <v>12.38</v>
      </c>
      <c r="K1856" t="s">
        <v>21</v>
      </c>
      <c r="L1856" s="1">
        <v>12.38</v>
      </c>
    </row>
    <row r="1857" spans="1:12">
      <c r="A1857" t="s">
        <v>1794</v>
      </c>
      <c r="B1857">
        <v>435454</v>
      </c>
      <c r="C1857" s="2" t="str">
        <f>"S2496CP"</f>
        <v>S2496CP</v>
      </c>
      <c r="D1857" t="s">
        <v>1895</v>
      </c>
      <c r="E1857" t="s">
        <v>4</v>
      </c>
      <c r="F1857">
        <v>1.5</v>
      </c>
      <c r="G1857">
        <v>0.25</v>
      </c>
      <c r="H1857" t="s">
        <v>20</v>
      </c>
      <c r="I1857" s="1">
        <v>9.82</v>
      </c>
      <c r="J1857" s="1">
        <v>9.82</v>
      </c>
      <c r="K1857" t="s">
        <v>457</v>
      </c>
      <c r="L1857" s="1">
        <v>9.82</v>
      </c>
    </row>
    <row r="1858" spans="1:12">
      <c r="A1858" t="s">
        <v>1794</v>
      </c>
      <c r="B1858">
        <v>393326</v>
      </c>
      <c r="C1858" s="2" t="str">
        <f>"S2498"</f>
        <v>S2498</v>
      </c>
      <c r="D1858" t="s">
        <v>1896</v>
      </c>
      <c r="E1858" t="s">
        <v>4</v>
      </c>
      <c r="F1858">
        <v>1.26</v>
      </c>
      <c r="G1858">
        <v>0.21</v>
      </c>
      <c r="H1858" t="s">
        <v>20</v>
      </c>
      <c r="I1858" s="1">
        <v>13.62</v>
      </c>
      <c r="J1858" s="1">
        <v>13.62</v>
      </c>
      <c r="K1858" t="s">
        <v>21</v>
      </c>
      <c r="L1858" s="1">
        <v>13.62</v>
      </c>
    </row>
    <row r="1859" spans="1:12">
      <c r="A1859" t="s">
        <v>1794</v>
      </c>
      <c r="B1859">
        <v>437849</v>
      </c>
      <c r="C1859" s="2" t="str">
        <f>"S284-61/2CP"</f>
        <v>S284-61/2CP</v>
      </c>
      <c r="D1859" t="s">
        <v>1897</v>
      </c>
      <c r="E1859" t="s">
        <v>4</v>
      </c>
      <c r="F1859">
        <v>1.74</v>
      </c>
      <c r="G1859">
        <v>0.28999999999999998</v>
      </c>
      <c r="H1859" t="s">
        <v>20</v>
      </c>
      <c r="I1859" s="1">
        <v>10.92</v>
      </c>
      <c r="J1859" s="1">
        <v>10.92</v>
      </c>
      <c r="K1859" t="s">
        <v>21</v>
      </c>
      <c r="L1859" s="1">
        <v>10.92</v>
      </c>
    </row>
    <row r="1860" spans="1:12">
      <c r="A1860" t="s">
        <v>1794</v>
      </c>
      <c r="B1860">
        <v>437912</v>
      </c>
      <c r="C1860" s="2" t="str">
        <f>"S285-3CP"</f>
        <v>S285-3CP</v>
      </c>
      <c r="D1860" t="s">
        <v>1898</v>
      </c>
      <c r="E1860" t="s">
        <v>4</v>
      </c>
      <c r="F1860">
        <v>3.48</v>
      </c>
      <c r="G1860">
        <v>0.57999999999999996</v>
      </c>
      <c r="H1860" t="s">
        <v>20</v>
      </c>
      <c r="I1860" s="1">
        <v>18.04</v>
      </c>
      <c r="J1860" s="1">
        <v>18.04</v>
      </c>
      <c r="K1860" t="s">
        <v>21</v>
      </c>
      <c r="L1860" s="1">
        <v>18.04</v>
      </c>
    </row>
    <row r="1861" spans="1:12">
      <c r="A1861" t="s">
        <v>1794</v>
      </c>
      <c r="B1861">
        <v>393350</v>
      </c>
      <c r="C1861" s="2" t="str">
        <f>"S285-4CP"</f>
        <v>S285-4CP</v>
      </c>
      <c r="D1861" t="s">
        <v>1899</v>
      </c>
      <c r="E1861" t="s">
        <v>4</v>
      </c>
      <c r="F1861">
        <v>4.1399999999999997</v>
      </c>
      <c r="G1861">
        <v>0.69</v>
      </c>
      <c r="H1861" t="s">
        <v>20</v>
      </c>
      <c r="I1861" s="1">
        <v>21.42</v>
      </c>
      <c r="J1861" s="1">
        <v>21.42</v>
      </c>
      <c r="K1861" t="s">
        <v>21</v>
      </c>
      <c r="L1861" s="1">
        <v>21.42</v>
      </c>
    </row>
    <row r="1862" spans="1:12">
      <c r="A1862" t="s">
        <v>1794</v>
      </c>
      <c r="B1862">
        <v>396040</v>
      </c>
      <c r="C1862" s="2" t="str">
        <f>"S286-4"</f>
        <v>S286-4</v>
      </c>
      <c r="D1862" t="s">
        <v>1801</v>
      </c>
      <c r="E1862" t="s">
        <v>4</v>
      </c>
      <c r="F1862">
        <v>1.98</v>
      </c>
      <c r="G1862">
        <v>0.33</v>
      </c>
      <c r="H1862" t="s">
        <v>20</v>
      </c>
      <c r="I1862" s="1">
        <v>18.100000000000001</v>
      </c>
      <c r="J1862" s="1">
        <v>18.100000000000001</v>
      </c>
      <c r="K1862" t="s">
        <v>21</v>
      </c>
      <c r="L1862" s="1">
        <v>18.100000000000001</v>
      </c>
    </row>
    <row r="1863" spans="1:12">
      <c r="A1863" t="s">
        <v>1794</v>
      </c>
      <c r="B1863">
        <v>437891</v>
      </c>
      <c r="C1863" s="2" t="str">
        <f>"S286-6"</f>
        <v>S286-6</v>
      </c>
      <c r="D1863" t="s">
        <v>1830</v>
      </c>
      <c r="E1863" t="s">
        <v>4</v>
      </c>
      <c r="F1863">
        <v>2.52</v>
      </c>
      <c r="G1863">
        <v>0.42</v>
      </c>
      <c r="H1863" t="s">
        <v>20</v>
      </c>
      <c r="I1863" s="1">
        <v>18.82</v>
      </c>
      <c r="J1863" s="1">
        <v>18.82</v>
      </c>
      <c r="K1863" t="s">
        <v>21</v>
      </c>
      <c r="L1863" s="1">
        <v>18.82</v>
      </c>
    </row>
    <row r="1864" spans="1:12">
      <c r="A1864" t="s">
        <v>1794</v>
      </c>
      <c r="B1864">
        <v>394302</v>
      </c>
      <c r="C1864" s="2" t="str">
        <f>"S286-6CP"</f>
        <v>S286-6CP</v>
      </c>
      <c r="D1864" t="s">
        <v>1900</v>
      </c>
      <c r="E1864" t="s">
        <v>4</v>
      </c>
      <c r="F1864">
        <v>2.52</v>
      </c>
      <c r="G1864">
        <v>0.42</v>
      </c>
      <c r="H1864" t="s">
        <v>20</v>
      </c>
      <c r="I1864" s="1">
        <v>18.82</v>
      </c>
      <c r="J1864" s="1">
        <v>18.82</v>
      </c>
      <c r="K1864" t="s">
        <v>21</v>
      </c>
      <c r="L1864" s="1">
        <v>18.82</v>
      </c>
    </row>
    <row r="1865" spans="1:12">
      <c r="A1865" t="s">
        <v>1794</v>
      </c>
      <c r="B1865">
        <v>435468</v>
      </c>
      <c r="C1865" s="2" t="str">
        <f>"S286-6RC"</f>
        <v>S286-6RC</v>
      </c>
      <c r="D1865" t="s">
        <v>1901</v>
      </c>
      <c r="E1865" t="s">
        <v>4</v>
      </c>
      <c r="F1865">
        <v>2.64</v>
      </c>
      <c r="G1865">
        <v>0.44</v>
      </c>
      <c r="H1865" t="s">
        <v>20</v>
      </c>
      <c r="I1865" s="1">
        <v>18.170000000000002</v>
      </c>
      <c r="J1865" s="1">
        <v>18.170000000000002</v>
      </c>
      <c r="K1865" t="s">
        <v>457</v>
      </c>
      <c r="L1865" s="1">
        <v>18.170000000000002</v>
      </c>
    </row>
    <row r="1866" spans="1:12">
      <c r="A1866" t="s">
        <v>1794</v>
      </c>
      <c r="B1866">
        <v>437894</v>
      </c>
      <c r="C1866" s="2" t="str">
        <f>"S286-8CP"</f>
        <v>S286-8CP</v>
      </c>
      <c r="D1866" t="s">
        <v>1902</v>
      </c>
      <c r="E1866" t="s">
        <v>4</v>
      </c>
      <c r="F1866">
        <v>2.88</v>
      </c>
      <c r="G1866">
        <v>0.48</v>
      </c>
      <c r="H1866" t="s">
        <v>20</v>
      </c>
      <c r="I1866" s="1">
        <v>19.829999999999998</v>
      </c>
      <c r="J1866" s="1">
        <v>19.829999999999998</v>
      </c>
      <c r="K1866" t="s">
        <v>21</v>
      </c>
      <c r="L1866" s="1">
        <v>19.829999999999998</v>
      </c>
    </row>
    <row r="1867" spans="1:12">
      <c r="A1867" t="s">
        <v>1794</v>
      </c>
      <c r="B1867">
        <v>393313</v>
      </c>
      <c r="C1867" s="2" t="str">
        <f>"S2896 1/2PCP"</f>
        <v>S2896 1/2PCP</v>
      </c>
      <c r="D1867" t="s">
        <v>1903</v>
      </c>
      <c r="E1867" t="s">
        <v>4</v>
      </c>
      <c r="F1867">
        <v>1.98</v>
      </c>
      <c r="G1867">
        <v>0.33</v>
      </c>
      <c r="H1867" t="s">
        <v>20</v>
      </c>
      <c r="I1867" s="1">
        <v>18.82</v>
      </c>
      <c r="J1867" s="1">
        <v>18.82</v>
      </c>
      <c r="K1867" t="s">
        <v>21</v>
      </c>
      <c r="L1867" s="1">
        <v>18.82</v>
      </c>
    </row>
    <row r="1868" spans="1:12">
      <c r="A1868" t="s">
        <v>1794</v>
      </c>
      <c r="B1868">
        <v>435462</v>
      </c>
      <c r="C1868" s="2" t="str">
        <f>"S294CP"</f>
        <v>S294CP</v>
      </c>
      <c r="D1868" t="s">
        <v>1904</v>
      </c>
      <c r="E1868" t="s">
        <v>4</v>
      </c>
      <c r="F1868">
        <v>2.2799999999999998</v>
      </c>
      <c r="G1868">
        <v>0.38</v>
      </c>
      <c r="H1868" t="s">
        <v>20</v>
      </c>
      <c r="I1868" s="1">
        <v>14.27</v>
      </c>
      <c r="J1868" s="1">
        <v>14.27</v>
      </c>
      <c r="K1868" t="s">
        <v>457</v>
      </c>
      <c r="L1868" s="1">
        <v>14.27</v>
      </c>
    </row>
    <row r="1869" spans="1:12">
      <c r="A1869" t="s">
        <v>1794</v>
      </c>
      <c r="B1869">
        <v>393320</v>
      </c>
      <c r="C1869" s="2" t="str">
        <f>"S3A"</f>
        <v>S3A</v>
      </c>
      <c r="D1869" t="s">
        <v>1905</v>
      </c>
      <c r="E1869" t="s">
        <v>4</v>
      </c>
      <c r="F1869">
        <v>4.5599999999999996</v>
      </c>
      <c r="G1869">
        <v>0.38</v>
      </c>
      <c r="H1869" t="s">
        <v>106</v>
      </c>
      <c r="I1869" s="1">
        <v>15.57</v>
      </c>
      <c r="J1869" s="1">
        <v>15.57</v>
      </c>
      <c r="K1869" t="s">
        <v>21</v>
      </c>
      <c r="L1869" s="1">
        <v>15.57</v>
      </c>
    </row>
    <row r="1870" spans="1:12">
      <c r="A1870" t="s">
        <v>1794</v>
      </c>
      <c r="B1870">
        <v>393316</v>
      </c>
      <c r="C1870" s="2" t="str">
        <f>"S42"</f>
        <v>S42</v>
      </c>
      <c r="D1870" t="s">
        <v>1906</v>
      </c>
      <c r="E1870" t="s">
        <v>4</v>
      </c>
      <c r="F1870">
        <v>1.56</v>
      </c>
      <c r="G1870">
        <v>0.13</v>
      </c>
      <c r="H1870" t="s">
        <v>106</v>
      </c>
      <c r="I1870" s="1">
        <v>17.059999999999999</v>
      </c>
      <c r="J1870" s="1">
        <v>17.059999999999999</v>
      </c>
      <c r="K1870" t="s">
        <v>21</v>
      </c>
      <c r="L1870" s="1">
        <v>17.059999999999999</v>
      </c>
    </row>
    <row r="1871" spans="1:12">
      <c r="A1871" t="s">
        <v>1794</v>
      </c>
      <c r="B1871">
        <v>393312</v>
      </c>
      <c r="C1871" s="2" t="str">
        <f>"S496CP"</f>
        <v>S496CP</v>
      </c>
      <c r="D1871" t="s">
        <v>1907</v>
      </c>
      <c r="E1871" t="s">
        <v>4</v>
      </c>
      <c r="F1871">
        <v>3.78</v>
      </c>
      <c r="G1871">
        <v>0.63</v>
      </c>
      <c r="H1871" t="s">
        <v>20</v>
      </c>
      <c r="I1871" s="1">
        <v>11.15</v>
      </c>
      <c r="J1871" s="1">
        <v>11.15</v>
      </c>
      <c r="K1871" t="s">
        <v>21</v>
      </c>
      <c r="L1871" s="1">
        <v>11.15</v>
      </c>
    </row>
    <row r="1872" spans="1:12">
      <c r="A1872" t="s">
        <v>1794</v>
      </c>
      <c r="B1872">
        <v>393308</v>
      </c>
      <c r="C1872" s="2" t="str">
        <f>"S5198CP"</f>
        <v>S5198CP</v>
      </c>
      <c r="D1872" t="s">
        <v>1908</v>
      </c>
      <c r="E1872" t="s">
        <v>4</v>
      </c>
      <c r="F1872">
        <v>4.5</v>
      </c>
      <c r="G1872">
        <v>0.75</v>
      </c>
      <c r="H1872" t="s">
        <v>20</v>
      </c>
      <c r="I1872" s="1">
        <v>32.18</v>
      </c>
      <c r="J1872" s="1">
        <v>32.18</v>
      </c>
      <c r="K1872" t="s">
        <v>21</v>
      </c>
      <c r="L1872" s="1">
        <v>32.18</v>
      </c>
    </row>
    <row r="1873" spans="1:12">
      <c r="A1873" t="s">
        <v>1794</v>
      </c>
      <c r="B1873">
        <v>437898</v>
      </c>
      <c r="C1873" s="2" t="str">
        <f>"S8694"</f>
        <v>S8694</v>
      </c>
      <c r="D1873" t="s">
        <v>1898</v>
      </c>
      <c r="E1873" t="s">
        <v>4</v>
      </c>
      <c r="F1873">
        <v>2.52</v>
      </c>
      <c r="G1873">
        <v>0.42</v>
      </c>
      <c r="H1873" t="s">
        <v>20</v>
      </c>
      <c r="I1873" s="1">
        <v>19.66</v>
      </c>
      <c r="J1873" s="1">
        <v>19.66</v>
      </c>
      <c r="K1873" t="s">
        <v>21</v>
      </c>
      <c r="L1873" s="1">
        <v>19.66</v>
      </c>
    </row>
    <row r="1874" spans="1:12">
      <c r="A1874" t="s">
        <v>1794</v>
      </c>
      <c r="B1874">
        <v>393336</v>
      </c>
      <c r="C1874" s="2" t="str">
        <f>"S8696-PCP"</f>
        <v>S8696-PCP</v>
      </c>
      <c r="D1874" t="s">
        <v>1830</v>
      </c>
      <c r="E1874" t="s">
        <v>4</v>
      </c>
      <c r="F1874">
        <v>3.48</v>
      </c>
      <c r="G1874">
        <v>0.57999999999999996</v>
      </c>
      <c r="H1874" t="s">
        <v>20</v>
      </c>
      <c r="I1874" s="1">
        <v>20.96</v>
      </c>
      <c r="J1874" s="1">
        <v>20.96</v>
      </c>
      <c r="K1874" t="s">
        <v>21</v>
      </c>
      <c r="L1874" s="1">
        <v>20.96</v>
      </c>
    </row>
    <row r="1875" spans="1:12">
      <c r="A1875" t="s">
        <v>1794</v>
      </c>
      <c r="B1875">
        <v>393338</v>
      </c>
      <c r="C1875" s="2" t="str">
        <f>"S8698CP"</f>
        <v>S8698CP</v>
      </c>
      <c r="D1875" t="s">
        <v>1909</v>
      </c>
      <c r="E1875" t="s">
        <v>4</v>
      </c>
      <c r="F1875">
        <v>3.12</v>
      </c>
      <c r="G1875">
        <v>0.52</v>
      </c>
      <c r="H1875" t="s">
        <v>20</v>
      </c>
      <c r="I1875" s="1">
        <v>21.61</v>
      </c>
      <c r="J1875" s="1">
        <v>21.61</v>
      </c>
      <c r="K1875" t="s">
        <v>21</v>
      </c>
      <c r="L1875" s="1">
        <v>21.61</v>
      </c>
    </row>
    <row r="1876" spans="1:12">
      <c r="A1876" t="s">
        <v>1794</v>
      </c>
      <c r="B1876">
        <v>393339</v>
      </c>
      <c r="C1876" s="2" t="str">
        <f>"S8699PCP"</f>
        <v>S8699PCP</v>
      </c>
      <c r="D1876" t="s">
        <v>1910</v>
      </c>
      <c r="E1876" t="s">
        <v>4</v>
      </c>
      <c r="F1876">
        <v>5.64</v>
      </c>
      <c r="G1876">
        <v>0.94</v>
      </c>
      <c r="H1876" t="s">
        <v>20</v>
      </c>
      <c r="I1876" s="1">
        <v>27.46</v>
      </c>
      <c r="J1876" s="1">
        <v>27.46</v>
      </c>
      <c r="K1876" t="s">
        <v>21</v>
      </c>
      <c r="L1876" s="1">
        <v>27.46</v>
      </c>
    </row>
    <row r="1877" spans="1:12">
      <c r="A1877" t="s">
        <v>1794</v>
      </c>
      <c r="B1877">
        <v>425197</v>
      </c>
      <c r="C1877" s="2" t="str">
        <f>"SG104B-PCP"</f>
        <v>SG104B-PCP</v>
      </c>
      <c r="D1877" t="s">
        <v>1911</v>
      </c>
      <c r="E1877" t="s">
        <v>4</v>
      </c>
      <c r="F1877">
        <v>1.2</v>
      </c>
      <c r="G1877">
        <v>0.1</v>
      </c>
      <c r="H1877" t="s">
        <v>106</v>
      </c>
      <c r="I1877" s="1">
        <v>5.92</v>
      </c>
      <c r="J1877" s="1">
        <v>5.92</v>
      </c>
      <c r="K1877" t="s">
        <v>457</v>
      </c>
      <c r="L1877" s="1">
        <v>5.92</v>
      </c>
    </row>
    <row r="1878" spans="1:12">
      <c r="A1878" t="s">
        <v>1794</v>
      </c>
      <c r="B1878">
        <v>397844</v>
      </c>
      <c r="C1878" s="2" t="str">
        <f>"SG107"</f>
        <v>SG107</v>
      </c>
      <c r="D1878" t="s">
        <v>1912</v>
      </c>
      <c r="E1878" t="s">
        <v>4</v>
      </c>
      <c r="F1878">
        <v>1.2</v>
      </c>
      <c r="G1878">
        <v>0.1</v>
      </c>
      <c r="H1878" t="s">
        <v>106</v>
      </c>
      <c r="I1878" s="1">
        <v>6.99</v>
      </c>
      <c r="J1878" s="1">
        <v>6.99</v>
      </c>
      <c r="K1878" t="s">
        <v>21</v>
      </c>
      <c r="L1878" s="1">
        <v>6.99</v>
      </c>
    </row>
    <row r="1879" spans="1:12">
      <c r="A1879" t="s">
        <v>1794</v>
      </c>
      <c r="B1879">
        <v>437599</v>
      </c>
      <c r="C1879" s="2" t="str">
        <f>"SG133-8PCP"</f>
        <v>SG133-8PCP</v>
      </c>
      <c r="D1879" t="s">
        <v>1913</v>
      </c>
      <c r="E1879" t="s">
        <v>4</v>
      </c>
      <c r="F1879">
        <v>1.98</v>
      </c>
      <c r="G1879">
        <v>0.33</v>
      </c>
      <c r="H1879" t="s">
        <v>20</v>
      </c>
      <c r="I1879" s="1">
        <v>18.170000000000002</v>
      </c>
      <c r="J1879" s="1">
        <v>18.170000000000002</v>
      </c>
      <c r="K1879" t="s">
        <v>21</v>
      </c>
      <c r="L1879" s="1">
        <v>18.170000000000002</v>
      </c>
    </row>
    <row r="1880" spans="1:12">
      <c r="A1880" t="s">
        <v>1794</v>
      </c>
      <c r="B1880">
        <v>423649</v>
      </c>
      <c r="C1880" s="2" t="str">
        <f>"SG136B-PCP"</f>
        <v>SG136B-PCP</v>
      </c>
      <c r="D1880" t="s">
        <v>1914</v>
      </c>
      <c r="E1880" t="s">
        <v>4</v>
      </c>
      <c r="F1880">
        <v>4.0199999999999996</v>
      </c>
      <c r="G1880">
        <v>0.67</v>
      </c>
      <c r="H1880" t="s">
        <v>20</v>
      </c>
      <c r="I1880" s="1">
        <v>14.92</v>
      </c>
      <c r="J1880" s="1">
        <v>14.92</v>
      </c>
      <c r="K1880" t="s">
        <v>21</v>
      </c>
      <c r="L1880" s="1">
        <v>14.92</v>
      </c>
    </row>
    <row r="1881" spans="1:12">
      <c r="A1881" t="s">
        <v>1794</v>
      </c>
      <c r="B1881">
        <v>423650</v>
      </c>
      <c r="C1881" s="2" t="str">
        <f>"SG136FB-PCP"</f>
        <v>SG136FB-PCP</v>
      </c>
      <c r="D1881" t="s">
        <v>1915</v>
      </c>
      <c r="E1881" t="s">
        <v>4</v>
      </c>
      <c r="F1881">
        <v>3.78</v>
      </c>
      <c r="G1881">
        <v>0.63</v>
      </c>
      <c r="H1881" t="s">
        <v>20</v>
      </c>
      <c r="I1881" s="1">
        <v>15.44</v>
      </c>
      <c r="J1881" s="1">
        <v>15.44</v>
      </c>
      <c r="K1881" t="s">
        <v>21</v>
      </c>
      <c r="L1881" s="1">
        <v>15.44</v>
      </c>
    </row>
    <row r="1882" spans="1:12">
      <c r="A1882" t="s">
        <v>1794</v>
      </c>
      <c r="B1882">
        <v>393340</v>
      </c>
      <c r="C1882" s="2" t="str">
        <f>"SG140-12 PCP"</f>
        <v>SG140-12 PCP</v>
      </c>
      <c r="D1882" t="s">
        <v>1916</v>
      </c>
      <c r="E1882" t="s">
        <v>4</v>
      </c>
      <c r="F1882">
        <v>2.76</v>
      </c>
      <c r="G1882">
        <v>0.46</v>
      </c>
      <c r="H1882" t="s">
        <v>20</v>
      </c>
      <c r="I1882" s="1">
        <v>25.97</v>
      </c>
      <c r="J1882" s="1">
        <v>25.97</v>
      </c>
      <c r="K1882" t="s">
        <v>21</v>
      </c>
      <c r="L1882" s="1">
        <v>25.97</v>
      </c>
    </row>
    <row r="1883" spans="1:12">
      <c r="A1883" t="s">
        <v>1794</v>
      </c>
      <c r="B1883">
        <v>437846</v>
      </c>
      <c r="C1883" s="2" t="str">
        <f>"SG140-12GEPCP"</f>
        <v>SG140-12GEPCP</v>
      </c>
      <c r="D1883" t="s">
        <v>1917</v>
      </c>
      <c r="E1883" t="s">
        <v>4</v>
      </c>
      <c r="F1883">
        <v>2.76</v>
      </c>
      <c r="G1883">
        <v>0.46</v>
      </c>
      <c r="H1883" t="s">
        <v>20</v>
      </c>
      <c r="I1883" s="1">
        <v>32.18</v>
      </c>
      <c r="J1883" s="1">
        <v>32.18</v>
      </c>
      <c r="K1883" t="s">
        <v>21</v>
      </c>
      <c r="L1883" s="1">
        <v>32.18</v>
      </c>
    </row>
    <row r="1884" spans="1:12">
      <c r="A1884" t="s">
        <v>1794</v>
      </c>
      <c r="B1884">
        <v>393342</v>
      </c>
      <c r="C1884" s="2" t="str">
        <f>"SG140-12SCPCP"</f>
        <v>SG140-12SCPCP</v>
      </c>
      <c r="D1884" t="s">
        <v>1918</v>
      </c>
      <c r="E1884" t="s">
        <v>4</v>
      </c>
      <c r="F1884">
        <v>2.76</v>
      </c>
      <c r="G1884">
        <v>0.46</v>
      </c>
      <c r="H1884" t="s">
        <v>20</v>
      </c>
      <c r="I1884" s="1">
        <v>26.33</v>
      </c>
      <c r="J1884" s="1">
        <v>26.33</v>
      </c>
      <c r="K1884" t="s">
        <v>21</v>
      </c>
      <c r="L1884" s="1">
        <v>26.33</v>
      </c>
    </row>
    <row r="1885" spans="1:12">
      <c r="A1885" t="s">
        <v>1794</v>
      </c>
      <c r="B1885">
        <v>443755</v>
      </c>
      <c r="C1885" s="2" t="str">
        <f>"SG144-7GEB-CP"</f>
        <v>SG144-7GEB-CP</v>
      </c>
      <c r="D1885" t="s">
        <v>1919</v>
      </c>
      <c r="E1885" t="s">
        <v>4</v>
      </c>
      <c r="F1885">
        <v>1.86</v>
      </c>
      <c r="G1885">
        <v>0.31</v>
      </c>
      <c r="H1885" t="s">
        <v>20</v>
      </c>
      <c r="I1885" s="1">
        <v>31.53</v>
      </c>
      <c r="J1885" s="1">
        <v>31.53</v>
      </c>
      <c r="K1885" t="s">
        <v>457</v>
      </c>
      <c r="L1885" s="1">
        <v>31.53</v>
      </c>
    </row>
    <row r="1886" spans="1:12">
      <c r="A1886" t="s">
        <v>1794</v>
      </c>
      <c r="B1886">
        <v>423655</v>
      </c>
      <c r="C1886" s="2" t="str">
        <f>"SG145-10B-PCP"</f>
        <v>SG145-10B-PCP</v>
      </c>
      <c r="D1886" t="s">
        <v>1920</v>
      </c>
      <c r="E1886" t="s">
        <v>4</v>
      </c>
      <c r="F1886">
        <v>6.24</v>
      </c>
      <c r="G1886">
        <v>1.04</v>
      </c>
      <c r="H1886" t="s">
        <v>20</v>
      </c>
      <c r="I1886" s="1">
        <v>28.57</v>
      </c>
      <c r="J1886" s="1">
        <v>28.57</v>
      </c>
      <c r="K1886" t="s">
        <v>21</v>
      </c>
      <c r="L1886" s="1">
        <v>28.57</v>
      </c>
    </row>
    <row r="1887" spans="1:12">
      <c r="A1887" t="s">
        <v>1794</v>
      </c>
      <c r="B1887">
        <v>393391</v>
      </c>
      <c r="C1887" s="2" t="str">
        <f>"SG145-10PCP"</f>
        <v>SG145-10PCP</v>
      </c>
      <c r="D1887" t="s">
        <v>1816</v>
      </c>
      <c r="E1887" t="s">
        <v>4</v>
      </c>
      <c r="F1887">
        <v>3.12</v>
      </c>
      <c r="G1887">
        <v>0.52</v>
      </c>
      <c r="H1887" t="s">
        <v>20</v>
      </c>
      <c r="I1887" s="1">
        <v>28.57</v>
      </c>
      <c r="J1887" s="1">
        <v>28.57</v>
      </c>
      <c r="K1887" t="s">
        <v>21</v>
      </c>
      <c r="L1887" s="1">
        <v>28.57</v>
      </c>
    </row>
    <row r="1888" spans="1:12">
      <c r="A1888" t="s">
        <v>1794</v>
      </c>
      <c r="B1888">
        <v>393384</v>
      </c>
      <c r="C1888" s="2" t="str">
        <f>"SG147-10SCPCP"</f>
        <v>SG147-10SCPCP</v>
      </c>
      <c r="D1888" t="s">
        <v>1857</v>
      </c>
      <c r="E1888" t="s">
        <v>4</v>
      </c>
      <c r="F1888">
        <v>2.2799999999999998</v>
      </c>
      <c r="G1888">
        <v>0.38</v>
      </c>
      <c r="H1888" t="s">
        <v>20</v>
      </c>
      <c r="I1888" s="1">
        <v>21.13</v>
      </c>
      <c r="J1888" s="1">
        <v>21.13</v>
      </c>
      <c r="K1888" t="s">
        <v>21</v>
      </c>
      <c r="L1888" s="1">
        <v>21.13</v>
      </c>
    </row>
    <row r="1889" spans="1:12">
      <c r="A1889" t="s">
        <v>1794</v>
      </c>
      <c r="B1889">
        <v>423657</v>
      </c>
      <c r="C1889" s="2" t="str">
        <f>"SG156SCB-PCP"</f>
        <v>SG156SCB-PCP</v>
      </c>
      <c r="D1889" t="s">
        <v>1921</v>
      </c>
      <c r="E1889" t="s">
        <v>4</v>
      </c>
      <c r="F1889">
        <v>3.48</v>
      </c>
      <c r="G1889">
        <v>0.57999999999999996</v>
      </c>
      <c r="H1889" t="s">
        <v>20</v>
      </c>
      <c r="I1889" s="1">
        <v>11.96</v>
      </c>
      <c r="J1889" s="1">
        <v>11.96</v>
      </c>
      <c r="K1889" t="s">
        <v>21</v>
      </c>
      <c r="L1889" s="1">
        <v>11.96</v>
      </c>
    </row>
    <row r="1890" spans="1:12">
      <c r="A1890" t="s">
        <v>1794</v>
      </c>
      <c r="B1890">
        <v>423632</v>
      </c>
      <c r="C1890" s="2" t="str">
        <f>"SG158SC-PCP"</f>
        <v>SG158SC-PCP</v>
      </c>
      <c r="D1890" t="s">
        <v>1922</v>
      </c>
      <c r="E1890" t="s">
        <v>4</v>
      </c>
      <c r="F1890">
        <v>3.78</v>
      </c>
      <c r="G1890">
        <v>0.63</v>
      </c>
      <c r="H1890" t="s">
        <v>20</v>
      </c>
      <c r="I1890" s="1">
        <v>15.11</v>
      </c>
      <c r="J1890" s="1">
        <v>15.11</v>
      </c>
      <c r="K1890" t="s">
        <v>21</v>
      </c>
      <c r="L1890" s="1">
        <v>15.11</v>
      </c>
    </row>
    <row r="1891" spans="1:12">
      <c r="A1891" t="s">
        <v>1794</v>
      </c>
      <c r="B1891">
        <v>423659</v>
      </c>
      <c r="C1891" s="2" t="str">
        <f>"SG162-8SCBPCP"</f>
        <v>SG162-8SCBPCP</v>
      </c>
      <c r="D1891" t="s">
        <v>1923</v>
      </c>
      <c r="E1891" t="s">
        <v>4</v>
      </c>
      <c r="F1891">
        <v>4.5</v>
      </c>
      <c r="G1891">
        <v>0.75</v>
      </c>
      <c r="H1891" t="s">
        <v>20</v>
      </c>
      <c r="I1891" s="1">
        <v>14.92</v>
      </c>
      <c r="J1891" s="1">
        <v>14.92</v>
      </c>
      <c r="K1891" t="s">
        <v>21</v>
      </c>
      <c r="L1891" s="1">
        <v>14.92</v>
      </c>
    </row>
    <row r="1892" spans="1:12">
      <c r="A1892" t="s">
        <v>1794</v>
      </c>
      <c r="B1892">
        <v>393396</v>
      </c>
      <c r="C1892" s="2" t="str">
        <f>"SG162-8SCPCP"</f>
        <v>SG162-8SCPCP</v>
      </c>
      <c r="D1892" t="s">
        <v>1817</v>
      </c>
      <c r="E1892" t="s">
        <v>4</v>
      </c>
      <c r="F1892">
        <v>2.2799999999999998</v>
      </c>
      <c r="G1892">
        <v>0.38</v>
      </c>
      <c r="H1892" t="s">
        <v>20</v>
      </c>
      <c r="I1892" s="1">
        <v>14.92</v>
      </c>
      <c r="J1892" s="1">
        <v>14.92</v>
      </c>
      <c r="K1892" t="s">
        <v>21</v>
      </c>
      <c r="L1892" s="1">
        <v>14.92</v>
      </c>
    </row>
    <row r="1893" spans="1:12">
      <c r="A1893" t="s">
        <v>1794</v>
      </c>
      <c r="B1893">
        <v>423633</v>
      </c>
      <c r="C1893" s="2" t="str">
        <f>"SG163-9SCBPCP"</f>
        <v>SG163-9SCBPCP</v>
      </c>
      <c r="D1893" t="s">
        <v>1924</v>
      </c>
      <c r="E1893" t="s">
        <v>4</v>
      </c>
      <c r="F1893">
        <v>1.98</v>
      </c>
      <c r="G1893">
        <v>0.33</v>
      </c>
      <c r="H1893" t="s">
        <v>20</v>
      </c>
      <c r="I1893" s="1">
        <v>16.420000000000002</v>
      </c>
      <c r="J1893" s="1">
        <v>16.420000000000002</v>
      </c>
      <c r="K1893" t="s">
        <v>21</v>
      </c>
      <c r="L1893" s="1">
        <v>16.420000000000002</v>
      </c>
    </row>
    <row r="1894" spans="1:12">
      <c r="A1894" t="s">
        <v>1794</v>
      </c>
      <c r="B1894">
        <v>394304</v>
      </c>
      <c r="C1894" s="2" t="str">
        <f>"SG163-9SCPCP"</f>
        <v>SG163-9SCPCP</v>
      </c>
      <c r="D1894" t="s">
        <v>1925</v>
      </c>
      <c r="E1894" t="s">
        <v>4</v>
      </c>
      <c r="F1894">
        <v>1.98</v>
      </c>
      <c r="G1894">
        <v>0.33</v>
      </c>
      <c r="H1894" t="s">
        <v>20</v>
      </c>
      <c r="I1894" s="1">
        <v>16.41</v>
      </c>
      <c r="J1894" s="1">
        <v>16.41</v>
      </c>
      <c r="K1894" t="s">
        <v>21</v>
      </c>
      <c r="L1894" s="1">
        <v>16.41</v>
      </c>
    </row>
    <row r="1895" spans="1:12">
      <c r="A1895" t="s">
        <v>1794</v>
      </c>
      <c r="B1895">
        <v>394303</v>
      </c>
      <c r="C1895" s="2" t="str">
        <f>"SGCC7"</f>
        <v>SGCC7</v>
      </c>
      <c r="D1895" t="s">
        <v>1926</v>
      </c>
      <c r="E1895" t="s">
        <v>4</v>
      </c>
      <c r="F1895">
        <v>3</v>
      </c>
      <c r="H1895" t="s">
        <v>5</v>
      </c>
      <c r="I1895" s="1">
        <v>157.30000000000001</v>
      </c>
      <c r="J1895" s="1">
        <v>157.30000000000001</v>
      </c>
      <c r="K1895" t="s">
        <v>6</v>
      </c>
    </row>
    <row r="1896" spans="1:12">
      <c r="A1896" t="s">
        <v>1794</v>
      </c>
      <c r="B1896">
        <v>423644</v>
      </c>
      <c r="C1896" s="2" t="str">
        <f>"SS3"</f>
        <v>SS3</v>
      </c>
      <c r="D1896" t="s">
        <v>1927</v>
      </c>
      <c r="E1896" t="s">
        <v>4</v>
      </c>
      <c r="F1896">
        <v>10.98</v>
      </c>
      <c r="G1896">
        <v>1.83</v>
      </c>
      <c r="H1896" t="s">
        <v>20</v>
      </c>
      <c r="I1896" s="1">
        <v>45.5</v>
      </c>
      <c r="J1896" s="1">
        <v>45.5</v>
      </c>
      <c r="K1896" t="s">
        <v>1866</v>
      </c>
      <c r="L1896" s="1">
        <v>45.5</v>
      </c>
    </row>
    <row r="1897" spans="1:12">
      <c r="A1897" t="s">
        <v>1794</v>
      </c>
      <c r="B1897">
        <v>482592</v>
      </c>
      <c r="C1897" s="2" t="str">
        <f>"V105PCP"</f>
        <v>V105PCP</v>
      </c>
      <c r="D1897" t="s">
        <v>1928</v>
      </c>
      <c r="E1897" t="s">
        <v>4</v>
      </c>
      <c r="F1897">
        <v>9</v>
      </c>
      <c r="G1897">
        <v>0.75</v>
      </c>
      <c r="H1897" t="s">
        <v>106</v>
      </c>
      <c r="I1897" s="1">
        <v>6.83</v>
      </c>
      <c r="J1897" s="1">
        <v>6.83</v>
      </c>
      <c r="K1897" t="s">
        <v>21</v>
      </c>
      <c r="L1897" s="1">
        <v>6.83</v>
      </c>
    </row>
    <row r="1898" spans="1:12">
      <c r="A1898" t="s">
        <v>1794</v>
      </c>
      <c r="B1898">
        <v>449479</v>
      </c>
      <c r="C1898" s="2" t="str">
        <f>"V136N-PCP"</f>
        <v>V136N-PCP</v>
      </c>
      <c r="D1898" t="s">
        <v>1929</v>
      </c>
      <c r="E1898" t="s">
        <v>4</v>
      </c>
      <c r="F1898">
        <v>1.86</v>
      </c>
      <c r="G1898">
        <v>0.31</v>
      </c>
      <c r="H1898" t="s">
        <v>20</v>
      </c>
      <c r="I1898" s="1">
        <v>16.579999999999998</v>
      </c>
      <c r="J1898" s="1">
        <v>16.579999999999998</v>
      </c>
      <c r="K1898" t="s">
        <v>21</v>
      </c>
      <c r="L1898" s="1">
        <v>16.579999999999998</v>
      </c>
    </row>
    <row r="1899" spans="1:12">
      <c r="A1899" t="s">
        <v>1794</v>
      </c>
      <c r="B1899">
        <v>449487</v>
      </c>
      <c r="C1899" s="2" t="str">
        <f>"V144-9GE-PCP"</f>
        <v>V144-9GE-PCP</v>
      </c>
      <c r="D1899" t="s">
        <v>1930</v>
      </c>
      <c r="E1899" t="s">
        <v>4</v>
      </c>
      <c r="F1899">
        <v>3.12</v>
      </c>
      <c r="G1899">
        <v>0.52</v>
      </c>
      <c r="H1899" t="s">
        <v>20</v>
      </c>
      <c r="I1899" s="1">
        <v>37.700000000000003</v>
      </c>
      <c r="J1899" s="1">
        <v>37.700000000000003</v>
      </c>
      <c r="K1899" t="s">
        <v>457</v>
      </c>
      <c r="L1899" s="1">
        <v>37.700000000000003</v>
      </c>
    </row>
    <row r="1900" spans="1:12">
      <c r="A1900" t="s">
        <v>1794</v>
      </c>
      <c r="B1900">
        <v>449484</v>
      </c>
      <c r="C1900" s="2" t="str">
        <f>"V145-10PCP"</f>
        <v>V145-10PCP</v>
      </c>
      <c r="D1900" t="s">
        <v>1931</v>
      </c>
      <c r="E1900" t="s">
        <v>4</v>
      </c>
      <c r="F1900">
        <v>3.78</v>
      </c>
      <c r="G1900">
        <v>0.63</v>
      </c>
      <c r="H1900" t="s">
        <v>20</v>
      </c>
      <c r="I1900" s="1">
        <v>29.87</v>
      </c>
      <c r="J1900" s="1">
        <v>29.87</v>
      </c>
      <c r="K1900" t="s">
        <v>457</v>
      </c>
      <c r="L1900" s="1">
        <v>29.87</v>
      </c>
    </row>
    <row r="1901" spans="1:12">
      <c r="A1901" t="s">
        <v>1794</v>
      </c>
      <c r="B1901">
        <v>482591</v>
      </c>
      <c r="C1901" s="2" t="str">
        <f>"V156SC-PCP"</f>
        <v>V156SC-PCP</v>
      </c>
      <c r="D1901" t="s">
        <v>1932</v>
      </c>
      <c r="E1901" t="s">
        <v>4</v>
      </c>
      <c r="F1901">
        <v>7.5</v>
      </c>
      <c r="G1901">
        <v>1.25</v>
      </c>
      <c r="H1901" t="s">
        <v>20</v>
      </c>
      <c r="I1901" s="1">
        <v>12.51</v>
      </c>
      <c r="J1901" s="1">
        <v>12.51</v>
      </c>
      <c r="K1901" t="s">
        <v>21</v>
      </c>
      <c r="L1901" s="1">
        <v>12.51</v>
      </c>
    </row>
    <row r="1902" spans="1:12">
      <c r="A1902" t="s">
        <v>1794</v>
      </c>
      <c r="B1902">
        <v>481803</v>
      </c>
      <c r="C1902" s="2" t="str">
        <f>"V158SC-PCP"</f>
        <v>V158SC-PCP</v>
      </c>
      <c r="D1902" t="s">
        <v>1933</v>
      </c>
      <c r="E1902" t="s">
        <v>4</v>
      </c>
      <c r="F1902">
        <v>2.76</v>
      </c>
      <c r="G1902">
        <v>0.46</v>
      </c>
      <c r="H1902" t="s">
        <v>20</v>
      </c>
      <c r="I1902" s="1">
        <v>15.76</v>
      </c>
      <c r="J1902" s="1">
        <v>15.76</v>
      </c>
      <c r="K1902" t="s">
        <v>21</v>
      </c>
      <c r="L1902" s="1">
        <v>15.76</v>
      </c>
    </row>
    <row r="1903" spans="1:12">
      <c r="A1903" t="s">
        <v>1794</v>
      </c>
      <c r="B1903">
        <v>449485</v>
      </c>
      <c r="C1903" s="2" t="str">
        <f>"V162-8SC-PCP"</f>
        <v>V162-8SC-PCP</v>
      </c>
      <c r="D1903" t="s">
        <v>1934</v>
      </c>
      <c r="E1903" t="s">
        <v>4</v>
      </c>
      <c r="F1903">
        <v>2.2799999999999998</v>
      </c>
      <c r="G1903">
        <v>0.38</v>
      </c>
      <c r="H1903" t="s">
        <v>20</v>
      </c>
      <c r="I1903" s="1">
        <v>15.93</v>
      </c>
      <c r="J1903" s="1">
        <v>15.93</v>
      </c>
      <c r="K1903" t="s">
        <v>457</v>
      </c>
      <c r="L1903" s="1">
        <v>15.93</v>
      </c>
    </row>
    <row r="1904" spans="1:12">
      <c r="A1904" t="s">
        <v>1794</v>
      </c>
      <c r="B1904">
        <v>449486</v>
      </c>
      <c r="C1904" s="2" t="str">
        <f>"V163-9SC-PCP"</f>
        <v>V163-9SC-PCP</v>
      </c>
      <c r="D1904" t="s">
        <v>1935</v>
      </c>
      <c r="E1904" t="s">
        <v>4</v>
      </c>
      <c r="F1904">
        <v>2.4</v>
      </c>
      <c r="G1904">
        <v>0.4</v>
      </c>
      <c r="H1904" t="s">
        <v>20</v>
      </c>
      <c r="I1904" s="1">
        <v>17.059999999999999</v>
      </c>
      <c r="J1904" s="1">
        <v>17.059999999999999</v>
      </c>
      <c r="K1904" t="s">
        <v>457</v>
      </c>
      <c r="L1904" s="1">
        <v>17.059999999999999</v>
      </c>
    </row>
    <row r="1905" spans="1:12">
      <c r="A1905" t="s">
        <v>1936</v>
      </c>
      <c r="B1905">
        <v>536965</v>
      </c>
      <c r="C1905" s="2" t="str">
        <f>"00005"</f>
        <v>00005</v>
      </c>
      <c r="D1905" t="s">
        <v>1937</v>
      </c>
      <c r="E1905" t="s">
        <v>4</v>
      </c>
      <c r="F1905">
        <v>18.87</v>
      </c>
      <c r="H1905" t="s">
        <v>5</v>
      </c>
      <c r="I1905" s="1">
        <v>29.94</v>
      </c>
      <c r="J1905" s="1">
        <v>29.94</v>
      </c>
      <c r="K1905" t="s">
        <v>6</v>
      </c>
    </row>
    <row r="1906" spans="1:12">
      <c r="A1906" t="s">
        <v>1936</v>
      </c>
      <c r="B1906">
        <v>546800</v>
      </c>
      <c r="C1906" s="2" t="str">
        <f>"00014"</f>
        <v>00014</v>
      </c>
      <c r="D1906" t="s">
        <v>1938</v>
      </c>
      <c r="E1906" t="s">
        <v>4</v>
      </c>
      <c r="F1906">
        <v>23</v>
      </c>
      <c r="H1906" t="s">
        <v>5</v>
      </c>
      <c r="I1906" s="1">
        <v>13.95</v>
      </c>
      <c r="J1906" s="1">
        <v>13.95</v>
      </c>
      <c r="K1906" t="s">
        <v>6</v>
      </c>
    </row>
    <row r="1907" spans="1:12">
      <c r="A1907" t="s">
        <v>1936</v>
      </c>
      <c r="B1907">
        <v>467089</v>
      </c>
      <c r="C1907" s="2" t="str">
        <f>"00034"</f>
        <v>00034</v>
      </c>
      <c r="D1907" t="s">
        <v>1939</v>
      </c>
      <c r="E1907" t="s">
        <v>4</v>
      </c>
      <c r="F1907">
        <v>11</v>
      </c>
      <c r="H1907" t="s">
        <v>5</v>
      </c>
      <c r="I1907" s="1">
        <v>46.16</v>
      </c>
      <c r="J1907" s="1">
        <v>44.1</v>
      </c>
      <c r="K1907" t="s">
        <v>6</v>
      </c>
    </row>
    <row r="1908" spans="1:12">
      <c r="A1908" t="s">
        <v>1936</v>
      </c>
      <c r="B1908">
        <v>507527</v>
      </c>
      <c r="C1908" s="2" t="str">
        <f>"00163"</f>
        <v>00163</v>
      </c>
      <c r="D1908" t="s">
        <v>1940</v>
      </c>
      <c r="E1908" t="s">
        <v>4</v>
      </c>
      <c r="F1908">
        <v>12.8</v>
      </c>
      <c r="H1908" t="s">
        <v>5</v>
      </c>
      <c r="I1908" s="1">
        <v>51.03</v>
      </c>
      <c r="J1908" s="1">
        <v>48.74</v>
      </c>
      <c r="K1908" t="s">
        <v>6</v>
      </c>
    </row>
    <row r="1909" spans="1:12">
      <c r="A1909" t="s">
        <v>1936</v>
      </c>
      <c r="B1909">
        <v>470516</v>
      </c>
      <c r="C1909" s="2" t="str">
        <f>"00865"</f>
        <v>00865</v>
      </c>
      <c r="D1909" t="s">
        <v>1941</v>
      </c>
      <c r="E1909" t="s">
        <v>4</v>
      </c>
      <c r="F1909">
        <v>16.399999999999999</v>
      </c>
      <c r="H1909" t="s">
        <v>5</v>
      </c>
      <c r="I1909" s="1">
        <v>35.11</v>
      </c>
      <c r="J1909" s="1">
        <v>33.54</v>
      </c>
      <c r="K1909" t="s">
        <v>6</v>
      </c>
    </row>
    <row r="1910" spans="1:12">
      <c r="A1910" t="s">
        <v>1936</v>
      </c>
      <c r="B1910">
        <v>470482</v>
      </c>
      <c r="C1910" s="2" t="str">
        <f>"00910"</f>
        <v>00910</v>
      </c>
      <c r="D1910" t="s">
        <v>1942</v>
      </c>
      <c r="E1910" t="s">
        <v>4</v>
      </c>
      <c r="F1910">
        <v>17</v>
      </c>
      <c r="H1910" t="s">
        <v>5</v>
      </c>
      <c r="I1910" s="1">
        <v>62.39</v>
      </c>
      <c r="J1910" s="1">
        <v>59.61</v>
      </c>
      <c r="K1910" t="s">
        <v>6</v>
      </c>
    </row>
    <row r="1911" spans="1:12">
      <c r="A1911" t="s">
        <v>1936</v>
      </c>
      <c r="B1911">
        <v>470905</v>
      </c>
      <c r="C1911" s="2" t="str">
        <f>"01585"</f>
        <v>01585</v>
      </c>
      <c r="D1911" t="s">
        <v>1943</v>
      </c>
      <c r="E1911" t="s">
        <v>4</v>
      </c>
      <c r="F1911">
        <v>6.8</v>
      </c>
      <c r="H1911" t="s">
        <v>5</v>
      </c>
      <c r="I1911" s="1">
        <v>37.31</v>
      </c>
      <c r="J1911" s="1">
        <v>35.65</v>
      </c>
      <c r="K1911" t="s">
        <v>6</v>
      </c>
    </row>
    <row r="1912" spans="1:12">
      <c r="A1912" t="s">
        <v>1936</v>
      </c>
      <c r="B1912">
        <v>470515</v>
      </c>
      <c r="C1912" s="2" t="str">
        <f>"01602"</f>
        <v>01602</v>
      </c>
      <c r="D1912" t="s">
        <v>1944</v>
      </c>
      <c r="E1912" t="s">
        <v>4</v>
      </c>
      <c r="F1912">
        <v>15</v>
      </c>
      <c r="H1912" t="s">
        <v>5</v>
      </c>
      <c r="I1912" s="1">
        <v>35.11</v>
      </c>
      <c r="J1912" s="1">
        <v>33.54</v>
      </c>
      <c r="K1912" t="s">
        <v>6</v>
      </c>
    </row>
    <row r="1913" spans="1:12">
      <c r="A1913" t="s">
        <v>1936</v>
      </c>
      <c r="B1913">
        <v>470378</v>
      </c>
      <c r="C1913" s="2" t="str">
        <f>"01606"</f>
        <v>01606</v>
      </c>
      <c r="D1913" t="s">
        <v>1945</v>
      </c>
      <c r="E1913" t="s">
        <v>4</v>
      </c>
      <c r="F1913">
        <v>20</v>
      </c>
      <c r="H1913" t="s">
        <v>5</v>
      </c>
      <c r="I1913" s="1">
        <v>29.13</v>
      </c>
      <c r="J1913" s="1">
        <v>27.83</v>
      </c>
      <c r="K1913" t="s">
        <v>6</v>
      </c>
    </row>
    <row r="1914" spans="1:12">
      <c r="A1914" t="s">
        <v>1936</v>
      </c>
      <c r="B1914">
        <v>470377</v>
      </c>
      <c r="C1914" s="2" t="str">
        <f>"01607"</f>
        <v>01607</v>
      </c>
      <c r="D1914" t="s">
        <v>1946</v>
      </c>
      <c r="E1914" t="s">
        <v>4</v>
      </c>
      <c r="F1914">
        <v>23.4</v>
      </c>
      <c r="H1914" t="s">
        <v>5</v>
      </c>
      <c r="I1914" s="1">
        <v>18.63</v>
      </c>
      <c r="J1914" s="1">
        <v>17.809999999999999</v>
      </c>
      <c r="K1914" t="s">
        <v>6</v>
      </c>
    </row>
    <row r="1915" spans="1:12">
      <c r="A1915" t="s">
        <v>1936</v>
      </c>
      <c r="B1915">
        <v>470943</v>
      </c>
      <c r="C1915" s="2" t="str">
        <f>"01614"</f>
        <v>01614</v>
      </c>
      <c r="D1915" t="s">
        <v>1947</v>
      </c>
      <c r="E1915" t="s">
        <v>4</v>
      </c>
      <c r="F1915">
        <v>21</v>
      </c>
      <c r="H1915" t="s">
        <v>5</v>
      </c>
      <c r="I1915" s="1">
        <v>13.35</v>
      </c>
      <c r="J1915" s="1">
        <v>13.35</v>
      </c>
      <c r="K1915" t="s">
        <v>6</v>
      </c>
    </row>
    <row r="1916" spans="1:12">
      <c r="A1916" t="s">
        <v>1936</v>
      </c>
      <c r="B1916">
        <v>516043</v>
      </c>
      <c r="C1916" s="2" t="str">
        <f>"017309"</f>
        <v>017309</v>
      </c>
      <c r="D1916" t="s">
        <v>1948</v>
      </c>
      <c r="E1916" t="s">
        <v>4</v>
      </c>
      <c r="F1916">
        <v>23.4</v>
      </c>
      <c r="H1916" t="s">
        <v>5</v>
      </c>
      <c r="I1916" s="1">
        <v>17.03</v>
      </c>
      <c r="J1916" s="1">
        <v>17.03</v>
      </c>
      <c r="K1916" t="s">
        <v>6</v>
      </c>
    </row>
    <row r="1917" spans="1:12">
      <c r="A1917" t="s">
        <v>1936</v>
      </c>
      <c r="B1917">
        <v>516887</v>
      </c>
      <c r="C1917" s="2" t="str">
        <f>"01731"</f>
        <v>01731</v>
      </c>
      <c r="D1917" t="s">
        <v>1949</v>
      </c>
      <c r="E1917" t="s">
        <v>4</v>
      </c>
      <c r="F1917">
        <v>21</v>
      </c>
      <c r="H1917" t="s">
        <v>5</v>
      </c>
      <c r="I1917" s="1">
        <v>13.35</v>
      </c>
      <c r="J1917" s="1">
        <v>13.35</v>
      </c>
      <c r="K1917" t="s">
        <v>6</v>
      </c>
    </row>
    <row r="1918" spans="1:12">
      <c r="A1918" t="s">
        <v>1936</v>
      </c>
      <c r="B1918">
        <v>470393</v>
      </c>
      <c r="C1918" s="2" t="str">
        <f>"02401"</f>
        <v>02401</v>
      </c>
      <c r="D1918" t="s">
        <v>1950</v>
      </c>
      <c r="E1918" t="s">
        <v>4</v>
      </c>
      <c r="F1918">
        <v>22.5</v>
      </c>
      <c r="H1918" t="s">
        <v>5</v>
      </c>
      <c r="I1918" s="1">
        <v>73.36</v>
      </c>
      <c r="J1918" s="1">
        <v>70.08</v>
      </c>
      <c r="K1918" t="s">
        <v>6</v>
      </c>
    </row>
    <row r="1919" spans="1:12">
      <c r="A1919" t="s">
        <v>1936</v>
      </c>
      <c r="B1919">
        <v>467088</v>
      </c>
      <c r="C1919" s="2" t="str">
        <f>"02936"</f>
        <v>02936</v>
      </c>
      <c r="D1919" t="s">
        <v>1951</v>
      </c>
      <c r="E1919" t="s">
        <v>4</v>
      </c>
      <c r="F1919">
        <v>6.3</v>
      </c>
      <c r="H1919" t="s">
        <v>5</v>
      </c>
      <c r="I1919" s="1">
        <v>23.24</v>
      </c>
      <c r="J1919" s="1">
        <v>22.2</v>
      </c>
      <c r="K1919" t="s">
        <v>6</v>
      </c>
    </row>
    <row r="1920" spans="1:12">
      <c r="A1920" t="s">
        <v>1936</v>
      </c>
      <c r="B1920">
        <v>470201</v>
      </c>
      <c r="C1920" s="2" t="str">
        <f>"03228"</f>
        <v>03228</v>
      </c>
      <c r="D1920" t="s">
        <v>1952</v>
      </c>
      <c r="E1920" t="s">
        <v>4</v>
      </c>
      <c r="F1920">
        <v>6</v>
      </c>
      <c r="G1920">
        <v>1</v>
      </c>
      <c r="H1920" t="s">
        <v>20</v>
      </c>
      <c r="I1920" s="1">
        <v>0.01</v>
      </c>
      <c r="J1920" s="1">
        <v>0.01</v>
      </c>
      <c r="K1920" t="s">
        <v>457</v>
      </c>
      <c r="L1920" s="1">
        <v>0.01</v>
      </c>
    </row>
    <row r="1921" spans="1:12">
      <c r="A1921" t="s">
        <v>1936</v>
      </c>
      <c r="B1921">
        <v>470200</v>
      </c>
      <c r="C1921" s="2" t="str">
        <f>"03922"</f>
        <v>03922</v>
      </c>
      <c r="D1921" t="s">
        <v>1953</v>
      </c>
      <c r="E1921" t="s">
        <v>4</v>
      </c>
      <c r="F1921">
        <v>7.98</v>
      </c>
      <c r="G1921">
        <v>1.33</v>
      </c>
      <c r="H1921" t="s">
        <v>20</v>
      </c>
      <c r="I1921" s="1">
        <v>0.01</v>
      </c>
      <c r="J1921" s="1">
        <v>0.01</v>
      </c>
      <c r="K1921" t="s">
        <v>457</v>
      </c>
      <c r="L1921" s="1">
        <v>0.01</v>
      </c>
    </row>
    <row r="1922" spans="1:12">
      <c r="A1922" t="s">
        <v>1936</v>
      </c>
      <c r="B1922">
        <v>467093</v>
      </c>
      <c r="C1922" s="2" t="str">
        <f>"03986"</f>
        <v>03986</v>
      </c>
      <c r="D1922" t="s">
        <v>1954</v>
      </c>
      <c r="E1922" t="s">
        <v>4</v>
      </c>
      <c r="F1922">
        <v>37</v>
      </c>
      <c r="H1922" t="s">
        <v>5</v>
      </c>
      <c r="I1922" s="1">
        <v>44.28</v>
      </c>
      <c r="J1922" s="1">
        <v>42.3</v>
      </c>
      <c r="K1922" t="s">
        <v>6</v>
      </c>
    </row>
    <row r="1923" spans="1:12">
      <c r="A1923" t="s">
        <v>1936</v>
      </c>
      <c r="B1923">
        <v>513561</v>
      </c>
      <c r="C1923" s="2" t="str">
        <f>"06046"</f>
        <v>06046</v>
      </c>
      <c r="D1923" t="s">
        <v>1955</v>
      </c>
      <c r="E1923" t="s">
        <v>4</v>
      </c>
      <c r="F1923">
        <v>20</v>
      </c>
      <c r="H1923" t="s">
        <v>5</v>
      </c>
      <c r="I1923" s="1">
        <v>40.14</v>
      </c>
      <c r="J1923" s="1">
        <v>38.340000000000003</v>
      </c>
      <c r="K1923" t="s">
        <v>6</v>
      </c>
    </row>
    <row r="1924" spans="1:12">
      <c r="A1924" t="s">
        <v>1936</v>
      </c>
      <c r="B1924">
        <v>470971</v>
      </c>
      <c r="C1924" s="2" t="str">
        <f>"06811"</f>
        <v>06811</v>
      </c>
      <c r="D1924" t="s">
        <v>1956</v>
      </c>
      <c r="E1924" t="s">
        <v>4</v>
      </c>
      <c r="F1924">
        <v>10.5</v>
      </c>
      <c r="H1924" t="s">
        <v>5</v>
      </c>
      <c r="I1924" s="1">
        <v>62.1</v>
      </c>
      <c r="J1924" s="1">
        <v>61.17</v>
      </c>
      <c r="K1924" t="s">
        <v>6</v>
      </c>
    </row>
    <row r="1925" spans="1:12">
      <c r="A1925" t="s">
        <v>1936</v>
      </c>
      <c r="B1925">
        <v>525089</v>
      </c>
      <c r="C1925" s="2" t="str">
        <f>"08507"</f>
        <v>08507</v>
      </c>
      <c r="D1925" t="s">
        <v>1957</v>
      </c>
      <c r="E1925" t="s">
        <v>4</v>
      </c>
      <c r="F1925">
        <v>8.9</v>
      </c>
      <c r="H1925" t="s">
        <v>5</v>
      </c>
      <c r="I1925" s="1">
        <v>25.28</v>
      </c>
      <c r="J1925" s="1">
        <v>25.28</v>
      </c>
      <c r="K1925" t="s">
        <v>6</v>
      </c>
    </row>
    <row r="1926" spans="1:12">
      <c r="A1926" t="s">
        <v>1936</v>
      </c>
      <c r="B1926">
        <v>467104</v>
      </c>
      <c r="C1926" s="2" t="str">
        <f>"15020"</f>
        <v>15020</v>
      </c>
      <c r="D1926" t="s">
        <v>1958</v>
      </c>
      <c r="E1926" t="s">
        <v>4</v>
      </c>
      <c r="F1926">
        <v>16.5</v>
      </c>
      <c r="H1926" t="s">
        <v>5</v>
      </c>
      <c r="I1926" s="1">
        <v>31.93</v>
      </c>
      <c r="J1926" s="1">
        <v>30.5</v>
      </c>
      <c r="K1926" t="s">
        <v>6</v>
      </c>
    </row>
    <row r="1927" spans="1:12">
      <c r="A1927" t="s">
        <v>1936</v>
      </c>
      <c r="B1927">
        <v>467105</v>
      </c>
      <c r="C1927" s="2" t="str">
        <f>"15519"</f>
        <v>15519</v>
      </c>
      <c r="D1927" t="s">
        <v>1959</v>
      </c>
      <c r="E1927" t="s">
        <v>4</v>
      </c>
      <c r="F1927">
        <v>15</v>
      </c>
      <c r="H1927" t="s">
        <v>5</v>
      </c>
      <c r="I1927" s="1">
        <v>31.93</v>
      </c>
      <c r="J1927" s="1">
        <v>30.5</v>
      </c>
      <c r="K1927" t="s">
        <v>6</v>
      </c>
    </row>
    <row r="1928" spans="1:12">
      <c r="A1928" t="s">
        <v>1936</v>
      </c>
      <c r="B1928">
        <v>444220</v>
      </c>
      <c r="C1928" s="2" t="str">
        <f>"25173"</f>
        <v>25173</v>
      </c>
      <c r="D1928" t="s">
        <v>1960</v>
      </c>
      <c r="E1928" t="s">
        <v>4</v>
      </c>
      <c r="F1928">
        <v>2.96</v>
      </c>
      <c r="H1928" t="s">
        <v>5</v>
      </c>
      <c r="I1928" s="1">
        <v>25.45</v>
      </c>
      <c r="J1928" s="1">
        <v>25.45</v>
      </c>
      <c r="K1928" t="s">
        <v>6</v>
      </c>
    </row>
    <row r="1929" spans="1:12">
      <c r="A1929" t="s">
        <v>1936</v>
      </c>
      <c r="B1929">
        <v>444222</v>
      </c>
      <c r="C1929" s="2" t="str">
        <f>"25187"</f>
        <v>25187</v>
      </c>
      <c r="D1929" t="s">
        <v>1961</v>
      </c>
      <c r="E1929" t="s">
        <v>4</v>
      </c>
      <c r="F1929">
        <v>2.96</v>
      </c>
      <c r="H1929" t="s">
        <v>5</v>
      </c>
      <c r="I1929" s="1">
        <v>25.45</v>
      </c>
      <c r="J1929" s="1">
        <v>25.45</v>
      </c>
      <c r="K1929" t="s">
        <v>6</v>
      </c>
    </row>
    <row r="1930" spans="1:12">
      <c r="A1930" t="s">
        <v>1936</v>
      </c>
      <c r="B1930">
        <v>467083</v>
      </c>
      <c r="C1930" s="2" t="str">
        <f>"88047"</f>
        <v>88047</v>
      </c>
      <c r="D1930" t="s">
        <v>1962</v>
      </c>
      <c r="E1930" t="s">
        <v>4</v>
      </c>
      <c r="F1930">
        <v>37</v>
      </c>
      <c r="H1930" t="s">
        <v>5</v>
      </c>
      <c r="I1930" s="1">
        <v>51.92</v>
      </c>
      <c r="J1930" s="1">
        <v>49.61</v>
      </c>
      <c r="K1930" t="s">
        <v>6</v>
      </c>
    </row>
    <row r="1931" spans="1:12">
      <c r="A1931" t="s">
        <v>1936</v>
      </c>
      <c r="B1931">
        <v>467097</v>
      </c>
      <c r="C1931" s="2" t="str">
        <f>"95862"</f>
        <v>95862</v>
      </c>
      <c r="D1931" t="s">
        <v>1963</v>
      </c>
      <c r="E1931" t="s">
        <v>4</v>
      </c>
      <c r="F1931">
        <v>24</v>
      </c>
      <c r="H1931" t="s">
        <v>5</v>
      </c>
      <c r="I1931" s="1">
        <v>70.16</v>
      </c>
      <c r="J1931" s="1">
        <v>67.02</v>
      </c>
      <c r="K1931" t="s">
        <v>6</v>
      </c>
    </row>
    <row r="1932" spans="1:12">
      <c r="A1932" t="s">
        <v>1936</v>
      </c>
      <c r="B1932">
        <v>467098</v>
      </c>
      <c r="C1932" s="2" t="str">
        <f>"96507"</f>
        <v>96507</v>
      </c>
      <c r="D1932" t="s">
        <v>1964</v>
      </c>
      <c r="E1932" t="s">
        <v>4</v>
      </c>
      <c r="F1932">
        <v>23.7</v>
      </c>
      <c r="H1932" t="s">
        <v>5</v>
      </c>
      <c r="I1932" s="1">
        <v>41.87</v>
      </c>
      <c r="J1932" s="1">
        <v>40</v>
      </c>
      <c r="K1932" t="s">
        <v>6</v>
      </c>
    </row>
    <row r="1933" spans="1:12">
      <c r="A1933" t="s">
        <v>1936</v>
      </c>
      <c r="B1933">
        <v>467100</v>
      </c>
      <c r="C1933" s="2" t="str">
        <f>"97501"</f>
        <v>97501</v>
      </c>
      <c r="D1933" t="s">
        <v>1965</v>
      </c>
      <c r="E1933" t="s">
        <v>4</v>
      </c>
      <c r="F1933">
        <v>23.7</v>
      </c>
      <c r="H1933" t="s">
        <v>5</v>
      </c>
      <c r="I1933" s="1">
        <v>61.4</v>
      </c>
      <c r="J1933" s="1">
        <v>58.66</v>
      </c>
      <c r="K1933" t="s">
        <v>6</v>
      </c>
    </row>
    <row r="1934" spans="1:12">
      <c r="A1934" t="s">
        <v>1936</v>
      </c>
      <c r="B1934">
        <v>467096</v>
      </c>
      <c r="C1934" s="2" t="str">
        <f>"99506"</f>
        <v>99506</v>
      </c>
      <c r="D1934" t="s">
        <v>1966</v>
      </c>
      <c r="E1934" t="s">
        <v>4</v>
      </c>
      <c r="F1934">
        <v>23.7</v>
      </c>
      <c r="H1934" t="s">
        <v>5</v>
      </c>
      <c r="I1934" s="1">
        <v>35.06</v>
      </c>
      <c r="J1934" s="1">
        <v>33.5</v>
      </c>
      <c r="K1934" t="s">
        <v>6</v>
      </c>
    </row>
    <row r="1935" spans="1:12">
      <c r="A1935" t="s">
        <v>1967</v>
      </c>
      <c r="B1935">
        <v>436773</v>
      </c>
      <c r="C1935" s="2" t="str">
        <f>"102"</f>
        <v>102</v>
      </c>
      <c r="D1935" t="s">
        <v>1968</v>
      </c>
      <c r="E1935" t="s">
        <v>4</v>
      </c>
      <c r="F1935">
        <v>8</v>
      </c>
      <c r="H1935" t="s">
        <v>5</v>
      </c>
      <c r="I1935" s="1">
        <v>17.489999999999998</v>
      </c>
      <c r="J1935" s="1">
        <v>16.559999999999999</v>
      </c>
      <c r="K1935" t="s">
        <v>6</v>
      </c>
    </row>
    <row r="1936" spans="1:12">
      <c r="A1936" t="s">
        <v>1967</v>
      </c>
      <c r="B1936">
        <v>431883</v>
      </c>
      <c r="C1936" s="2" t="str">
        <f>"BR20"</f>
        <v>BR20</v>
      </c>
      <c r="D1936" t="s">
        <v>1969</v>
      </c>
      <c r="E1936" t="s">
        <v>4</v>
      </c>
      <c r="F1936">
        <v>14</v>
      </c>
      <c r="H1936" t="s">
        <v>5</v>
      </c>
      <c r="I1936" s="1">
        <v>54.47</v>
      </c>
      <c r="J1936" s="1">
        <v>51.6</v>
      </c>
      <c r="K1936" t="s">
        <v>6</v>
      </c>
    </row>
    <row r="1937" spans="1:11">
      <c r="A1937" t="s">
        <v>1967</v>
      </c>
      <c r="B1937">
        <v>432050</v>
      </c>
      <c r="C1937" s="2" t="str">
        <f>"D104"</f>
        <v>D104</v>
      </c>
      <c r="D1937" t="s">
        <v>1970</v>
      </c>
      <c r="E1937" t="s">
        <v>4</v>
      </c>
      <c r="F1937">
        <v>8.9600000000000009</v>
      </c>
      <c r="H1937" t="s">
        <v>5</v>
      </c>
      <c r="I1937" s="1">
        <v>86.68</v>
      </c>
      <c r="J1937" s="1">
        <v>79.08</v>
      </c>
      <c r="K1937" t="s">
        <v>6</v>
      </c>
    </row>
    <row r="1938" spans="1:11">
      <c r="A1938" t="s">
        <v>1967</v>
      </c>
      <c r="B1938">
        <v>431942</v>
      </c>
      <c r="C1938" s="2" t="str">
        <f>"D104/12"</f>
        <v>D104/12</v>
      </c>
      <c r="D1938" t="s">
        <v>1971</v>
      </c>
      <c r="E1938" t="s">
        <v>4</v>
      </c>
      <c r="F1938">
        <v>1.6</v>
      </c>
      <c r="H1938" t="s">
        <v>5</v>
      </c>
      <c r="I1938" s="1">
        <v>13.31</v>
      </c>
      <c r="J1938" s="1">
        <v>13.05</v>
      </c>
      <c r="K1938" t="s">
        <v>6</v>
      </c>
    </row>
    <row r="1939" spans="1:11">
      <c r="A1939" t="s">
        <v>1967</v>
      </c>
      <c r="B1939">
        <v>431898</v>
      </c>
      <c r="C1939" s="2" t="str">
        <f>"D1217S3"</f>
        <v>D1217S3</v>
      </c>
      <c r="D1939" t="s">
        <v>1972</v>
      </c>
      <c r="E1939" t="s">
        <v>4</v>
      </c>
      <c r="F1939">
        <v>2.5</v>
      </c>
      <c r="H1939" t="s">
        <v>5</v>
      </c>
      <c r="I1939" s="1">
        <v>32.92</v>
      </c>
      <c r="J1939" s="1">
        <v>31.17</v>
      </c>
      <c r="K1939" t="s">
        <v>6</v>
      </c>
    </row>
    <row r="1940" spans="1:11">
      <c r="A1940" t="s">
        <v>1967</v>
      </c>
      <c r="B1940">
        <v>431903</v>
      </c>
      <c r="C1940" s="2" t="str">
        <f>"D1324S5"</f>
        <v>D1324S5</v>
      </c>
      <c r="D1940" t="s">
        <v>1973</v>
      </c>
      <c r="E1940" t="s">
        <v>4</v>
      </c>
      <c r="F1940">
        <v>9.75</v>
      </c>
      <c r="H1940" t="s">
        <v>5</v>
      </c>
      <c r="I1940" s="1">
        <v>40.31</v>
      </c>
      <c r="J1940" s="1">
        <v>38.19</v>
      </c>
      <c r="K1940" t="s">
        <v>6</v>
      </c>
    </row>
    <row r="1941" spans="1:11">
      <c r="A1941" t="s">
        <v>1967</v>
      </c>
      <c r="B1941">
        <v>431900</v>
      </c>
      <c r="C1941" s="2" t="str">
        <f>"D1422E3"</f>
        <v>D1422E3</v>
      </c>
      <c r="D1941" t="s">
        <v>1974</v>
      </c>
      <c r="E1941" t="s">
        <v>4</v>
      </c>
      <c r="F1941">
        <v>6</v>
      </c>
      <c r="H1941" t="s">
        <v>5</v>
      </c>
      <c r="I1941" s="1">
        <v>67.239999999999995</v>
      </c>
      <c r="J1941" s="1">
        <v>63.7</v>
      </c>
      <c r="K1941" t="s">
        <v>6</v>
      </c>
    </row>
    <row r="1942" spans="1:11">
      <c r="A1942" t="s">
        <v>1967</v>
      </c>
      <c r="B1942">
        <v>461051</v>
      </c>
      <c r="C1942" s="2" t="str">
        <f>"D1423S4"</f>
        <v>D1423S4</v>
      </c>
      <c r="D1942" t="s">
        <v>1975</v>
      </c>
      <c r="E1942" t="s">
        <v>4</v>
      </c>
      <c r="F1942">
        <v>8.5</v>
      </c>
      <c r="H1942" t="s">
        <v>5</v>
      </c>
      <c r="I1942" s="1">
        <v>28.9</v>
      </c>
      <c r="J1942" s="1">
        <v>27.38</v>
      </c>
      <c r="K1942" t="s">
        <v>6</v>
      </c>
    </row>
    <row r="1943" spans="1:11">
      <c r="A1943" t="s">
        <v>1967</v>
      </c>
      <c r="B1943">
        <v>431901</v>
      </c>
      <c r="C1943" s="2" t="str">
        <f>"D1618S4"</f>
        <v>D1618S4</v>
      </c>
      <c r="D1943" t="s">
        <v>1976</v>
      </c>
      <c r="E1943" t="s">
        <v>4</v>
      </c>
      <c r="F1943">
        <v>7.75</v>
      </c>
      <c r="H1943" t="s">
        <v>5</v>
      </c>
      <c r="I1943" s="1">
        <v>38.71</v>
      </c>
      <c r="J1943" s="1">
        <v>36.67</v>
      </c>
      <c r="K1943" t="s">
        <v>6</v>
      </c>
    </row>
    <row r="1944" spans="1:11">
      <c r="A1944" t="s">
        <v>1967</v>
      </c>
      <c r="B1944">
        <v>431899</v>
      </c>
      <c r="C1944" s="2" t="str">
        <f>"D1624S4"</f>
        <v>D1624S4</v>
      </c>
      <c r="D1944" t="s">
        <v>1977</v>
      </c>
      <c r="E1944" t="s">
        <v>4</v>
      </c>
      <c r="F1944">
        <v>9.75</v>
      </c>
      <c r="H1944" t="s">
        <v>5</v>
      </c>
      <c r="I1944" s="1">
        <v>46.09</v>
      </c>
      <c r="J1944" s="1">
        <v>43.67</v>
      </c>
      <c r="K1944" t="s">
        <v>6</v>
      </c>
    </row>
    <row r="1945" spans="1:11">
      <c r="A1945" t="s">
        <v>1967</v>
      </c>
      <c r="B1945">
        <v>431904</v>
      </c>
      <c r="C1945" s="2" t="str">
        <f>"D1625S3"</f>
        <v>D1625S3</v>
      </c>
      <c r="D1945" t="s">
        <v>1978</v>
      </c>
      <c r="E1945" t="s">
        <v>4</v>
      </c>
      <c r="F1945">
        <v>5</v>
      </c>
      <c r="H1945" t="s">
        <v>5</v>
      </c>
      <c r="I1945" s="1">
        <v>60.63</v>
      </c>
      <c r="J1945" s="1">
        <v>57.45</v>
      </c>
      <c r="K1945" t="s">
        <v>6</v>
      </c>
    </row>
    <row r="1946" spans="1:11">
      <c r="A1946" t="s">
        <v>1967</v>
      </c>
      <c r="B1946">
        <v>443868</v>
      </c>
      <c r="C1946" s="2" t="str">
        <f>"D1722E4"</f>
        <v>D1722E4</v>
      </c>
      <c r="D1946" t="s">
        <v>1979</v>
      </c>
      <c r="E1946" t="s">
        <v>4</v>
      </c>
      <c r="F1946">
        <v>18</v>
      </c>
      <c r="H1946" t="s">
        <v>5</v>
      </c>
      <c r="I1946" s="1">
        <v>76.319999999999993</v>
      </c>
      <c r="J1946" s="1">
        <v>72.31</v>
      </c>
      <c r="K1946" t="s">
        <v>6</v>
      </c>
    </row>
    <row r="1947" spans="1:11">
      <c r="A1947" t="s">
        <v>1967</v>
      </c>
      <c r="B1947">
        <v>502609</v>
      </c>
      <c r="C1947" s="2" t="str">
        <f>"D1728S4"</f>
        <v>D1728S4</v>
      </c>
      <c r="D1947" t="s">
        <v>1980</v>
      </c>
      <c r="E1947" t="s">
        <v>4</v>
      </c>
      <c r="F1947">
        <v>14.5</v>
      </c>
      <c r="H1947" t="s">
        <v>5</v>
      </c>
      <c r="I1947" s="1">
        <v>52.95</v>
      </c>
      <c r="J1947" s="1">
        <v>50.15</v>
      </c>
      <c r="K1947" t="s">
        <v>6</v>
      </c>
    </row>
    <row r="1948" spans="1:11">
      <c r="A1948" t="s">
        <v>1967</v>
      </c>
      <c r="B1948">
        <v>436573</v>
      </c>
      <c r="C1948" s="2" t="str">
        <f>"D1728S5"</f>
        <v>D1728S5</v>
      </c>
      <c r="D1948" t="s">
        <v>1981</v>
      </c>
      <c r="E1948" t="s">
        <v>4</v>
      </c>
      <c r="F1948">
        <v>15</v>
      </c>
      <c r="H1948" t="s">
        <v>5</v>
      </c>
      <c r="I1948" s="1">
        <v>57.41</v>
      </c>
      <c r="J1948" s="1">
        <v>54.39</v>
      </c>
      <c r="K1948" t="s">
        <v>6</v>
      </c>
    </row>
    <row r="1949" spans="1:11">
      <c r="A1949" t="s">
        <v>1967</v>
      </c>
      <c r="B1949">
        <v>436575</v>
      </c>
      <c r="C1949" s="2" t="str">
        <f>"D1820E5"</f>
        <v>D1820E5</v>
      </c>
      <c r="D1949" t="s">
        <v>1982</v>
      </c>
      <c r="E1949" t="s">
        <v>4</v>
      </c>
      <c r="F1949">
        <v>23</v>
      </c>
      <c r="H1949" t="s">
        <v>5</v>
      </c>
      <c r="I1949" s="1">
        <v>85.4</v>
      </c>
      <c r="J1949" s="1">
        <v>80.91</v>
      </c>
      <c r="K1949" t="s">
        <v>6</v>
      </c>
    </row>
    <row r="1950" spans="1:11">
      <c r="A1950" t="s">
        <v>1967</v>
      </c>
      <c r="B1950">
        <v>432045</v>
      </c>
      <c r="C1950" s="2" t="str">
        <f>"D204"</f>
        <v>D204</v>
      </c>
      <c r="D1950" t="s">
        <v>1983</v>
      </c>
      <c r="E1950" t="s">
        <v>4</v>
      </c>
      <c r="F1950">
        <v>6.6</v>
      </c>
      <c r="H1950" t="s">
        <v>5</v>
      </c>
      <c r="I1950" s="1">
        <v>76.67</v>
      </c>
      <c r="J1950" s="1">
        <v>69.709999999999994</v>
      </c>
      <c r="K1950" t="s">
        <v>6</v>
      </c>
    </row>
    <row r="1951" spans="1:11">
      <c r="A1951" t="s">
        <v>1967</v>
      </c>
      <c r="B1951">
        <v>431941</v>
      </c>
      <c r="C1951" s="2" t="str">
        <f>"D204/12"</f>
        <v>D204/12</v>
      </c>
      <c r="D1951" t="s">
        <v>1971</v>
      </c>
      <c r="E1951" t="s">
        <v>4</v>
      </c>
      <c r="F1951">
        <v>1.2</v>
      </c>
      <c r="H1951" t="s">
        <v>5</v>
      </c>
      <c r="I1951" s="1">
        <v>14.44</v>
      </c>
      <c r="J1951" s="1">
        <v>12.96</v>
      </c>
      <c r="K1951" t="s">
        <v>6</v>
      </c>
    </row>
    <row r="1952" spans="1:11">
      <c r="A1952" t="s">
        <v>1967</v>
      </c>
      <c r="B1952">
        <v>431902</v>
      </c>
      <c r="C1952" s="2" t="str">
        <f>"D2133S3"</f>
        <v>D2133S3</v>
      </c>
      <c r="D1952" t="s">
        <v>1984</v>
      </c>
      <c r="E1952" t="s">
        <v>4</v>
      </c>
      <c r="F1952">
        <v>6.5</v>
      </c>
      <c r="H1952" t="s">
        <v>5</v>
      </c>
      <c r="I1952" s="1">
        <v>93.21</v>
      </c>
      <c r="J1952" s="1">
        <v>88.3</v>
      </c>
      <c r="K1952" t="s">
        <v>6</v>
      </c>
    </row>
    <row r="1953" spans="1:12">
      <c r="A1953" t="s">
        <v>1967</v>
      </c>
      <c r="B1953">
        <v>431910</v>
      </c>
      <c r="C1953" s="2" t="str">
        <f>"D2178D4"</f>
        <v>D2178D4</v>
      </c>
      <c r="D1953" t="s">
        <v>1985</v>
      </c>
      <c r="E1953" t="s">
        <v>4</v>
      </c>
      <c r="F1953">
        <v>9.25</v>
      </c>
      <c r="H1953" t="s">
        <v>5</v>
      </c>
      <c r="I1953" s="1">
        <v>41.68</v>
      </c>
      <c r="J1953" s="1">
        <v>39.479999999999997</v>
      </c>
      <c r="K1953" t="s">
        <v>6</v>
      </c>
    </row>
    <row r="1954" spans="1:12">
      <c r="A1954" t="s">
        <v>1967</v>
      </c>
      <c r="B1954">
        <v>432213</v>
      </c>
      <c r="C1954" s="2" t="str">
        <f>"D32000T"</f>
        <v>D32000T</v>
      </c>
      <c r="D1954" t="s">
        <v>1986</v>
      </c>
      <c r="E1954" t="s">
        <v>4</v>
      </c>
      <c r="F1954">
        <v>47.52</v>
      </c>
      <c r="G1954">
        <v>3.96</v>
      </c>
      <c r="H1954" t="s">
        <v>106</v>
      </c>
      <c r="I1954" s="1">
        <v>19.5</v>
      </c>
      <c r="J1954" s="1">
        <v>18.47</v>
      </c>
      <c r="K1954" t="s">
        <v>457</v>
      </c>
      <c r="L1954" s="1">
        <v>20.32</v>
      </c>
    </row>
    <row r="1955" spans="1:12">
      <c r="A1955" t="s">
        <v>1967</v>
      </c>
      <c r="B1955">
        <v>432212</v>
      </c>
      <c r="C1955" s="2" t="str">
        <f>"D33000TPO"</f>
        <v>D33000TPO</v>
      </c>
      <c r="D1955" t="s">
        <v>1987</v>
      </c>
      <c r="E1955" t="s">
        <v>4</v>
      </c>
      <c r="F1955">
        <v>5.4</v>
      </c>
      <c r="G1955">
        <v>0.45</v>
      </c>
      <c r="H1955" t="s">
        <v>106</v>
      </c>
      <c r="I1955" s="1">
        <v>6.18</v>
      </c>
      <c r="J1955" s="1">
        <v>5.85</v>
      </c>
      <c r="K1955" t="s">
        <v>457</v>
      </c>
      <c r="L1955" s="1">
        <v>6.44</v>
      </c>
    </row>
    <row r="1956" spans="1:12">
      <c r="A1956" t="s">
        <v>1967</v>
      </c>
      <c r="B1956">
        <v>431911</v>
      </c>
      <c r="C1956" s="2" t="str">
        <f>"D918E31"</f>
        <v>D918E31</v>
      </c>
      <c r="D1956" t="s">
        <v>1988</v>
      </c>
      <c r="E1956" t="s">
        <v>4</v>
      </c>
      <c r="F1956">
        <v>2.5</v>
      </c>
      <c r="H1956" t="s">
        <v>5</v>
      </c>
      <c r="I1956" s="1">
        <v>44.08</v>
      </c>
      <c r="J1956" s="1">
        <v>41.76</v>
      </c>
      <c r="K1956" t="s">
        <v>6</v>
      </c>
    </row>
    <row r="1957" spans="1:12">
      <c r="A1957" t="s">
        <v>1967</v>
      </c>
      <c r="B1957">
        <v>431885</v>
      </c>
      <c r="C1957" s="2" t="str">
        <f>"DE125"</f>
        <v>DE125</v>
      </c>
      <c r="D1957" t="s">
        <v>1989</v>
      </c>
      <c r="E1957" t="s">
        <v>4</v>
      </c>
      <c r="F1957">
        <v>27</v>
      </c>
      <c r="H1957" t="s">
        <v>5</v>
      </c>
      <c r="I1957" s="1">
        <v>29.55</v>
      </c>
      <c r="J1957" s="1">
        <v>28.96</v>
      </c>
      <c r="K1957" t="s">
        <v>6</v>
      </c>
    </row>
    <row r="1958" spans="1:12">
      <c r="A1958" t="s">
        <v>1967</v>
      </c>
      <c r="B1958">
        <v>431894</v>
      </c>
      <c r="C1958" s="2" t="str">
        <f>"FB08"</f>
        <v>FB08</v>
      </c>
      <c r="D1958" t="s">
        <v>1990</v>
      </c>
      <c r="E1958" t="s">
        <v>4</v>
      </c>
      <c r="F1958">
        <v>16</v>
      </c>
      <c r="H1958" t="s">
        <v>5</v>
      </c>
      <c r="I1958" s="1">
        <v>40.01</v>
      </c>
      <c r="J1958" s="1">
        <v>37.909999999999997</v>
      </c>
      <c r="K1958" t="s">
        <v>6</v>
      </c>
    </row>
    <row r="1959" spans="1:12">
      <c r="A1959" t="s">
        <v>1967</v>
      </c>
      <c r="B1959">
        <v>431886</v>
      </c>
      <c r="C1959" s="2" t="str">
        <f>"FB560"</f>
        <v>FB560</v>
      </c>
      <c r="D1959" t="s">
        <v>1991</v>
      </c>
      <c r="E1959" t="s">
        <v>4</v>
      </c>
      <c r="F1959">
        <v>20</v>
      </c>
      <c r="H1959" t="s">
        <v>5</v>
      </c>
      <c r="I1959" s="1">
        <v>64.17</v>
      </c>
      <c r="J1959" s="1">
        <v>60.79</v>
      </c>
      <c r="K1959" t="s">
        <v>6</v>
      </c>
    </row>
    <row r="1960" spans="1:12">
      <c r="A1960" t="s">
        <v>1967</v>
      </c>
      <c r="B1960">
        <v>385446</v>
      </c>
      <c r="C1960" s="2" t="str">
        <f>"FC-10-3"</f>
        <v>FC-10-3</v>
      </c>
      <c r="D1960" t="s">
        <v>1992</v>
      </c>
      <c r="E1960" t="s">
        <v>4</v>
      </c>
      <c r="F1960">
        <v>9</v>
      </c>
      <c r="H1960" t="s">
        <v>5</v>
      </c>
      <c r="I1960" s="1">
        <v>85.83</v>
      </c>
      <c r="J1960" s="1">
        <v>81.319999999999993</v>
      </c>
      <c r="K1960" t="s">
        <v>6</v>
      </c>
    </row>
    <row r="1961" spans="1:12">
      <c r="A1961" t="s">
        <v>1967</v>
      </c>
      <c r="B1961">
        <v>436193</v>
      </c>
      <c r="C1961" s="2" t="str">
        <f>"FCH-10-1"</f>
        <v>FCH-10-1</v>
      </c>
      <c r="D1961" t="s">
        <v>1993</v>
      </c>
      <c r="E1961" t="s">
        <v>4</v>
      </c>
      <c r="F1961">
        <v>2</v>
      </c>
      <c r="H1961" t="s">
        <v>5</v>
      </c>
      <c r="I1961" s="1">
        <v>12.04</v>
      </c>
      <c r="J1961" s="1">
        <v>11.41</v>
      </c>
      <c r="K1961" t="s">
        <v>6</v>
      </c>
    </row>
    <row r="1962" spans="1:12">
      <c r="A1962" t="s">
        <v>1967</v>
      </c>
      <c r="B1962">
        <v>431912</v>
      </c>
      <c r="C1962" s="2" t="str">
        <f>"FW12"</f>
        <v>FW12</v>
      </c>
      <c r="D1962" t="s">
        <v>1994</v>
      </c>
      <c r="E1962" t="s">
        <v>4</v>
      </c>
      <c r="F1962">
        <v>12.95</v>
      </c>
      <c r="H1962" t="s">
        <v>5</v>
      </c>
      <c r="I1962" s="1">
        <v>73.48</v>
      </c>
      <c r="J1962" s="1">
        <v>69.62</v>
      </c>
      <c r="K1962" t="s">
        <v>6</v>
      </c>
    </row>
    <row r="1963" spans="1:12">
      <c r="A1963" t="s">
        <v>1967</v>
      </c>
      <c r="B1963">
        <v>431913</v>
      </c>
      <c r="C1963" s="2" t="str">
        <f>"FW65"</f>
        <v>FW65</v>
      </c>
      <c r="D1963" t="s">
        <v>1995</v>
      </c>
      <c r="E1963" t="s">
        <v>4</v>
      </c>
      <c r="F1963">
        <v>32.5</v>
      </c>
      <c r="H1963" t="s">
        <v>5</v>
      </c>
      <c r="I1963" s="1">
        <v>175.7</v>
      </c>
      <c r="J1963" s="1">
        <v>166.44</v>
      </c>
      <c r="K1963" t="s">
        <v>6</v>
      </c>
    </row>
    <row r="1964" spans="1:12">
      <c r="A1964" t="s">
        <v>1967</v>
      </c>
      <c r="B1964">
        <v>508281</v>
      </c>
      <c r="C1964" s="2" t="str">
        <f>"G35"</f>
        <v>G35</v>
      </c>
      <c r="D1964" t="s">
        <v>1996</v>
      </c>
      <c r="E1964" t="s">
        <v>4</v>
      </c>
      <c r="F1964">
        <v>8</v>
      </c>
      <c r="H1964" t="s">
        <v>5</v>
      </c>
      <c r="I1964" s="1">
        <v>91.9</v>
      </c>
      <c r="J1964" s="1">
        <v>87.06</v>
      </c>
      <c r="K1964" t="s">
        <v>6</v>
      </c>
    </row>
    <row r="1965" spans="1:12">
      <c r="A1965" t="s">
        <v>1967</v>
      </c>
      <c r="B1965">
        <v>436608</v>
      </c>
      <c r="C1965" s="2" t="str">
        <f>"GB12PC"</f>
        <v>GB12PC</v>
      </c>
      <c r="D1965" t="s">
        <v>60</v>
      </c>
      <c r="E1965" t="s">
        <v>4</v>
      </c>
      <c r="F1965">
        <v>7</v>
      </c>
      <c r="H1965" t="s">
        <v>5</v>
      </c>
      <c r="I1965" s="1">
        <v>20.54</v>
      </c>
      <c r="J1965" s="1">
        <v>18.43</v>
      </c>
      <c r="K1965" t="s">
        <v>6</v>
      </c>
    </row>
    <row r="1966" spans="1:12">
      <c r="A1966" t="s">
        <v>1967</v>
      </c>
      <c r="B1966">
        <v>431951</v>
      </c>
      <c r="C1966" s="2" t="str">
        <f>"GCSHR"</f>
        <v>GCSHR</v>
      </c>
      <c r="D1966" t="s">
        <v>1997</v>
      </c>
      <c r="E1966" t="s">
        <v>4</v>
      </c>
      <c r="F1966">
        <v>1.45</v>
      </c>
      <c r="H1966" t="s">
        <v>5</v>
      </c>
      <c r="I1966" s="1">
        <v>20.420000000000002</v>
      </c>
      <c r="J1966" s="1">
        <v>19.68</v>
      </c>
      <c r="K1966" t="s">
        <v>6</v>
      </c>
    </row>
    <row r="1967" spans="1:12">
      <c r="A1967" t="s">
        <v>1967</v>
      </c>
      <c r="B1967">
        <v>431920</v>
      </c>
      <c r="C1967" s="2" t="str">
        <f>"GP46"</f>
        <v>GP46</v>
      </c>
      <c r="D1967" t="s">
        <v>1998</v>
      </c>
      <c r="E1967" t="s">
        <v>4</v>
      </c>
      <c r="F1967">
        <v>2.85</v>
      </c>
      <c r="H1967" t="s">
        <v>5</v>
      </c>
      <c r="I1967" s="1">
        <v>16.48</v>
      </c>
      <c r="J1967" s="1">
        <v>16.16</v>
      </c>
      <c r="K1967" t="s">
        <v>6</v>
      </c>
    </row>
    <row r="1968" spans="1:12">
      <c r="A1968" t="s">
        <v>1967</v>
      </c>
      <c r="B1968">
        <v>431952</v>
      </c>
      <c r="C1968" s="2" t="str">
        <f>"GP46/20"</f>
        <v>GP46/20</v>
      </c>
      <c r="D1968" t="s">
        <v>1999</v>
      </c>
      <c r="E1968" t="s">
        <v>4</v>
      </c>
      <c r="F1968">
        <v>1.1499999999999999</v>
      </c>
      <c r="H1968" t="s">
        <v>5</v>
      </c>
      <c r="I1968" s="1">
        <v>6.27</v>
      </c>
      <c r="J1968" s="1">
        <v>6.14</v>
      </c>
      <c r="K1968" t="s">
        <v>6</v>
      </c>
    </row>
    <row r="1969" spans="1:12">
      <c r="A1969" t="s">
        <v>1967</v>
      </c>
      <c r="B1969">
        <v>488353</v>
      </c>
      <c r="C1969" s="2" t="str">
        <f>"GPH10HR"</f>
        <v>GPH10HR</v>
      </c>
      <c r="D1969" t="s">
        <v>2000</v>
      </c>
      <c r="E1969" t="s">
        <v>4</v>
      </c>
      <c r="F1969">
        <v>2.2000000000000002</v>
      </c>
      <c r="G1969">
        <v>0.22</v>
      </c>
      <c r="H1969" t="s">
        <v>108</v>
      </c>
      <c r="I1969" s="1">
        <v>5.29</v>
      </c>
      <c r="J1969" s="1">
        <v>5.25</v>
      </c>
      <c r="K1969" t="s">
        <v>21</v>
      </c>
      <c r="L1969" s="1">
        <v>5.78</v>
      </c>
    </row>
    <row r="1970" spans="1:12">
      <c r="A1970" t="s">
        <v>1967</v>
      </c>
      <c r="B1970">
        <v>432726</v>
      </c>
      <c r="C1970" s="2" t="str">
        <f>"GPH10HR2"</f>
        <v>GPH10HR2</v>
      </c>
      <c r="D1970" t="s">
        <v>2001</v>
      </c>
      <c r="E1970" t="s">
        <v>4</v>
      </c>
      <c r="F1970">
        <v>0.38</v>
      </c>
      <c r="H1970" t="s">
        <v>5</v>
      </c>
      <c r="I1970" s="1">
        <v>7.88</v>
      </c>
      <c r="J1970" s="1">
        <v>7.74</v>
      </c>
      <c r="K1970" t="s">
        <v>6</v>
      </c>
    </row>
    <row r="1971" spans="1:12">
      <c r="A1971" t="s">
        <v>1967</v>
      </c>
      <c r="B1971">
        <v>431940</v>
      </c>
      <c r="C1971" s="2" t="str">
        <f>"GS10/20"</f>
        <v>GS10/20</v>
      </c>
      <c r="D1971" t="s">
        <v>2002</v>
      </c>
      <c r="E1971" t="s">
        <v>4</v>
      </c>
      <c r="F1971">
        <v>3.7</v>
      </c>
      <c r="H1971" t="s">
        <v>5</v>
      </c>
      <c r="I1971" s="1">
        <v>41.72</v>
      </c>
      <c r="J1971" s="1">
        <v>40.9</v>
      </c>
      <c r="K1971" t="s">
        <v>6</v>
      </c>
    </row>
    <row r="1972" spans="1:12">
      <c r="A1972" t="s">
        <v>1967</v>
      </c>
      <c r="B1972">
        <v>431919</v>
      </c>
      <c r="C1972" s="2" t="str">
        <f>"HD69"</f>
        <v>HD69</v>
      </c>
      <c r="D1972" t="s">
        <v>2003</v>
      </c>
      <c r="E1972" t="s">
        <v>4</v>
      </c>
      <c r="F1972">
        <v>6</v>
      </c>
      <c r="H1972" t="s">
        <v>5</v>
      </c>
      <c r="I1972" s="1">
        <v>30.02</v>
      </c>
      <c r="J1972" s="1">
        <v>28.44</v>
      </c>
      <c r="K1972" t="s">
        <v>6</v>
      </c>
    </row>
    <row r="1973" spans="1:12">
      <c r="A1973" t="s">
        <v>1967</v>
      </c>
      <c r="B1973">
        <v>431956</v>
      </c>
      <c r="C1973" s="2" t="str">
        <f>"HD69/15"</f>
        <v>HD69/15</v>
      </c>
      <c r="D1973" t="s">
        <v>2004</v>
      </c>
      <c r="E1973" t="s">
        <v>4</v>
      </c>
      <c r="F1973">
        <v>1.5</v>
      </c>
      <c r="H1973" t="s">
        <v>5</v>
      </c>
      <c r="I1973" s="1">
        <v>7.51</v>
      </c>
      <c r="J1973" s="1">
        <v>7.48</v>
      </c>
      <c r="K1973" t="s">
        <v>6</v>
      </c>
    </row>
    <row r="1974" spans="1:12">
      <c r="A1974" t="s">
        <v>1967</v>
      </c>
      <c r="B1974">
        <v>436774</v>
      </c>
      <c r="C1974" s="2" t="str">
        <f>"HN500DBR"</f>
        <v>HN500DBR</v>
      </c>
      <c r="D1974" t="s">
        <v>2005</v>
      </c>
      <c r="E1974" t="s">
        <v>4</v>
      </c>
      <c r="F1974">
        <v>4</v>
      </c>
      <c r="H1974" t="s">
        <v>5</v>
      </c>
      <c r="I1974" s="1">
        <v>232.28</v>
      </c>
      <c r="J1974" s="1">
        <v>220.05</v>
      </c>
      <c r="K1974" t="s">
        <v>6</v>
      </c>
    </row>
    <row r="1975" spans="1:12">
      <c r="A1975" t="s">
        <v>1967</v>
      </c>
      <c r="B1975">
        <v>431946</v>
      </c>
      <c r="C1975" s="2" t="str">
        <f>"MD69/20"</f>
        <v>MD69/20</v>
      </c>
      <c r="D1975" t="s">
        <v>2006</v>
      </c>
      <c r="E1975" t="s">
        <v>4</v>
      </c>
      <c r="F1975">
        <v>1.32</v>
      </c>
      <c r="H1975" t="s">
        <v>5</v>
      </c>
      <c r="I1975" s="1">
        <v>7.72</v>
      </c>
      <c r="J1975" s="1">
        <v>7.57</v>
      </c>
      <c r="K1975" t="s">
        <v>6</v>
      </c>
    </row>
    <row r="1976" spans="1:12">
      <c r="A1976" t="s">
        <v>1967</v>
      </c>
      <c r="B1976">
        <v>432051</v>
      </c>
      <c r="C1976" s="2" t="str">
        <f>"MD69DISCO"</f>
        <v>MD69DISCO</v>
      </c>
      <c r="D1976" t="s">
        <v>2007</v>
      </c>
      <c r="E1976" t="s">
        <v>4</v>
      </c>
      <c r="F1976">
        <v>1.84</v>
      </c>
      <c r="H1976" t="s">
        <v>5</v>
      </c>
      <c r="I1976" s="1">
        <v>17.579999999999998</v>
      </c>
      <c r="J1976" s="1">
        <v>17.23</v>
      </c>
      <c r="K1976" t="s">
        <v>6</v>
      </c>
    </row>
    <row r="1977" spans="1:12">
      <c r="A1977" t="s">
        <v>1967</v>
      </c>
      <c r="B1977">
        <v>431943</v>
      </c>
      <c r="C1977" s="2" t="str">
        <f>"MD9650/60"</f>
        <v>MD9650/60</v>
      </c>
      <c r="D1977" t="s">
        <v>2008</v>
      </c>
      <c r="E1977" t="s">
        <v>4</v>
      </c>
      <c r="F1977">
        <v>1.84</v>
      </c>
      <c r="H1977" t="s">
        <v>5</v>
      </c>
      <c r="I1977" s="1">
        <v>12.51</v>
      </c>
      <c r="J1977" s="1">
        <v>11.6</v>
      </c>
      <c r="K1977" t="s">
        <v>6</v>
      </c>
    </row>
    <row r="1978" spans="1:12">
      <c r="A1978" t="s">
        <v>1967</v>
      </c>
      <c r="B1978">
        <v>431929</v>
      </c>
      <c r="C1978" s="2" t="str">
        <f>"PP80"</f>
        <v>PP80</v>
      </c>
      <c r="D1978" t="s">
        <v>2009</v>
      </c>
      <c r="E1978" t="s">
        <v>4</v>
      </c>
      <c r="F1978">
        <v>2</v>
      </c>
      <c r="H1978" t="s">
        <v>5</v>
      </c>
      <c r="I1978" s="1">
        <v>15</v>
      </c>
      <c r="J1978" s="1">
        <v>14.22</v>
      </c>
      <c r="K1978" t="s">
        <v>6</v>
      </c>
    </row>
    <row r="1979" spans="1:12">
      <c r="A1979" t="s">
        <v>1967</v>
      </c>
      <c r="B1979">
        <v>431957</v>
      </c>
      <c r="C1979" s="2" t="str">
        <f>"PP80/20"</f>
        <v>PP80/20</v>
      </c>
      <c r="D1979" t="s">
        <v>2010</v>
      </c>
      <c r="E1979" t="s">
        <v>4</v>
      </c>
      <c r="F1979">
        <v>1.25</v>
      </c>
      <c r="H1979" t="s">
        <v>5</v>
      </c>
      <c r="I1979" s="1">
        <v>9.18</v>
      </c>
      <c r="J1979" s="1">
        <v>8.8699999999999992</v>
      </c>
      <c r="K1979" t="s">
        <v>6</v>
      </c>
    </row>
    <row r="1980" spans="1:12">
      <c r="A1980" t="s">
        <v>1967</v>
      </c>
      <c r="B1980">
        <v>431928</v>
      </c>
      <c r="C1980" s="2" t="str">
        <f>"PP88"</f>
        <v>PP88</v>
      </c>
      <c r="D1980" t="s">
        <v>2011</v>
      </c>
      <c r="E1980" t="s">
        <v>4</v>
      </c>
      <c r="F1980">
        <v>2.02</v>
      </c>
      <c r="H1980" t="s">
        <v>5</v>
      </c>
      <c r="I1980" s="1">
        <v>16.670000000000002</v>
      </c>
      <c r="J1980" s="1">
        <v>15.8</v>
      </c>
      <c r="K1980" t="s">
        <v>6</v>
      </c>
    </row>
    <row r="1981" spans="1:12">
      <c r="A1981" t="s">
        <v>1967</v>
      </c>
      <c r="B1981">
        <v>480369</v>
      </c>
      <c r="C1981" s="2" t="str">
        <f>"SP1210"</f>
        <v>SP1210</v>
      </c>
      <c r="D1981" t="s">
        <v>2012</v>
      </c>
      <c r="E1981" t="s">
        <v>4</v>
      </c>
      <c r="F1981">
        <v>12.15</v>
      </c>
      <c r="H1981" t="s">
        <v>5</v>
      </c>
      <c r="I1981" s="1">
        <v>33.380000000000003</v>
      </c>
      <c r="J1981" s="1">
        <v>31.63</v>
      </c>
      <c r="K1981" t="s">
        <v>6</v>
      </c>
    </row>
    <row r="1982" spans="1:12">
      <c r="A1982" t="s">
        <v>1967</v>
      </c>
      <c r="B1982">
        <v>431958</v>
      </c>
      <c r="C1982" s="2" t="str">
        <f>"SP1210BRILLO"</f>
        <v>SP1210BRILLO</v>
      </c>
      <c r="D1982" t="s">
        <v>2013</v>
      </c>
      <c r="E1982" t="s">
        <v>4</v>
      </c>
      <c r="F1982">
        <v>10</v>
      </c>
      <c r="H1982" t="s">
        <v>5</v>
      </c>
      <c r="I1982" s="1">
        <v>34.97</v>
      </c>
      <c r="J1982" s="1">
        <v>34.28</v>
      </c>
      <c r="K1982" t="s">
        <v>6</v>
      </c>
    </row>
    <row r="1983" spans="1:12">
      <c r="A1983" t="s">
        <v>1967</v>
      </c>
      <c r="B1983">
        <v>431917</v>
      </c>
      <c r="C1983" s="2" t="str">
        <f>"SS652"</f>
        <v>SS652</v>
      </c>
      <c r="D1983" t="s">
        <v>2014</v>
      </c>
      <c r="E1983" t="s">
        <v>4</v>
      </c>
      <c r="F1983">
        <v>3.4</v>
      </c>
      <c r="H1983" t="s">
        <v>5</v>
      </c>
      <c r="I1983" s="1">
        <v>45.54</v>
      </c>
      <c r="J1983" s="1">
        <v>43.13</v>
      </c>
      <c r="K1983" t="s">
        <v>6</v>
      </c>
    </row>
    <row r="1984" spans="1:12">
      <c r="A1984" t="s">
        <v>1967</v>
      </c>
      <c r="B1984">
        <v>431895</v>
      </c>
      <c r="C1984" s="2" t="str">
        <f>"WP69/20"</f>
        <v>WP69/20</v>
      </c>
      <c r="D1984" t="s">
        <v>2015</v>
      </c>
      <c r="E1984" t="s">
        <v>4</v>
      </c>
      <c r="F1984">
        <v>1.1399999999999999</v>
      </c>
      <c r="H1984" t="s">
        <v>5</v>
      </c>
      <c r="I1984" s="1">
        <v>7.51</v>
      </c>
      <c r="J1984" s="1">
        <v>7.42</v>
      </c>
      <c r="K1984" t="s">
        <v>6</v>
      </c>
    </row>
    <row r="1985" spans="1:11">
      <c r="A1985" t="s">
        <v>2016</v>
      </c>
      <c r="B1985">
        <v>398273</v>
      </c>
      <c r="C1985" s="2" t="str">
        <f>"10101"</f>
        <v>10101</v>
      </c>
      <c r="D1985" t="s">
        <v>2017</v>
      </c>
      <c r="E1985" t="s">
        <v>4</v>
      </c>
      <c r="F1985">
        <v>12</v>
      </c>
      <c r="H1985" t="s">
        <v>5</v>
      </c>
      <c r="I1985" s="1">
        <v>53.27</v>
      </c>
      <c r="J1985" s="1">
        <v>51.74</v>
      </c>
      <c r="K1985" t="s">
        <v>6</v>
      </c>
    </row>
    <row r="1986" spans="1:11">
      <c r="A1986" t="s">
        <v>2016</v>
      </c>
      <c r="B1986">
        <v>398274</v>
      </c>
      <c r="C1986" s="2" t="str">
        <f>"10102"</f>
        <v>10102</v>
      </c>
      <c r="D1986" t="s">
        <v>2018</v>
      </c>
      <c r="E1986" t="s">
        <v>4</v>
      </c>
      <c r="F1986">
        <v>23</v>
      </c>
      <c r="H1986" t="s">
        <v>5</v>
      </c>
      <c r="I1986" s="1">
        <v>105.17</v>
      </c>
      <c r="J1986" s="1">
        <v>101.74</v>
      </c>
      <c r="K1986" t="s">
        <v>6</v>
      </c>
    </row>
    <row r="1987" spans="1:11">
      <c r="A1987" t="s">
        <v>2016</v>
      </c>
      <c r="B1987">
        <v>398269</v>
      </c>
      <c r="C1987" s="2" t="str">
        <f>"10619"</f>
        <v>10619</v>
      </c>
      <c r="D1987" t="s">
        <v>2019</v>
      </c>
      <c r="E1987" t="s">
        <v>4</v>
      </c>
      <c r="F1987">
        <v>10</v>
      </c>
      <c r="H1987" t="s">
        <v>5</v>
      </c>
      <c r="I1987" s="1">
        <v>84.01</v>
      </c>
      <c r="J1987" s="1">
        <v>81.59</v>
      </c>
      <c r="K1987" t="s">
        <v>6</v>
      </c>
    </row>
    <row r="1988" spans="1:11">
      <c r="A1988" t="s">
        <v>2016</v>
      </c>
      <c r="B1988">
        <v>398272</v>
      </c>
      <c r="C1988" s="2" t="str">
        <f>"10632"</f>
        <v>10632</v>
      </c>
      <c r="D1988" t="s">
        <v>2020</v>
      </c>
      <c r="E1988" t="s">
        <v>4</v>
      </c>
      <c r="F1988">
        <v>15</v>
      </c>
      <c r="H1988" t="s">
        <v>5</v>
      </c>
      <c r="I1988" s="1">
        <v>103.9</v>
      </c>
      <c r="J1988" s="1">
        <v>101.56</v>
      </c>
      <c r="K1988" t="s">
        <v>6</v>
      </c>
    </row>
    <row r="1989" spans="1:11">
      <c r="A1989" t="s">
        <v>2016</v>
      </c>
      <c r="B1989">
        <v>398270</v>
      </c>
      <c r="C1989" s="2" t="str">
        <f>"10919"</f>
        <v>10919</v>
      </c>
      <c r="D1989" t="s">
        <v>2021</v>
      </c>
      <c r="E1989" t="s">
        <v>4</v>
      </c>
      <c r="F1989">
        <v>14</v>
      </c>
      <c r="H1989" t="s">
        <v>5</v>
      </c>
      <c r="I1989" s="1">
        <v>129.63999999999999</v>
      </c>
      <c r="J1989" s="1">
        <v>125.89</v>
      </c>
      <c r="K1989" t="s">
        <v>6</v>
      </c>
    </row>
    <row r="1990" spans="1:11">
      <c r="A1990" t="s">
        <v>2016</v>
      </c>
      <c r="B1990">
        <v>398271</v>
      </c>
      <c r="C1990" s="2" t="str">
        <f>"11219DC"</f>
        <v>11219DC</v>
      </c>
      <c r="D1990" t="s">
        <v>2022</v>
      </c>
      <c r="E1990" t="s">
        <v>4</v>
      </c>
      <c r="F1990">
        <v>20</v>
      </c>
      <c r="H1990" t="s">
        <v>5</v>
      </c>
      <c r="I1990" s="1">
        <v>183.77</v>
      </c>
      <c r="J1990" s="1">
        <v>183.77</v>
      </c>
      <c r="K1990" t="s">
        <v>6</v>
      </c>
    </row>
    <row r="1991" spans="1:11">
      <c r="A1991" t="s">
        <v>2016</v>
      </c>
      <c r="B1991">
        <v>398276</v>
      </c>
      <c r="C1991" s="2" t="str">
        <f>"141211"</f>
        <v>141211</v>
      </c>
      <c r="D1991" t="s">
        <v>2023</v>
      </c>
      <c r="E1991" t="s">
        <v>4</v>
      </c>
      <c r="F1991">
        <v>11</v>
      </c>
      <c r="H1991" t="s">
        <v>5</v>
      </c>
      <c r="I1991" s="1">
        <v>81.430000000000007</v>
      </c>
      <c r="J1991" s="1">
        <v>79.87</v>
      </c>
      <c r="K1991" t="s">
        <v>6</v>
      </c>
    </row>
    <row r="1992" spans="1:11">
      <c r="A1992" t="s">
        <v>2016</v>
      </c>
      <c r="B1992">
        <v>398275</v>
      </c>
      <c r="C1992" s="2" t="str">
        <f>"20619"</f>
        <v>20619</v>
      </c>
      <c r="D1992" t="s">
        <v>2024</v>
      </c>
      <c r="E1992" t="s">
        <v>4</v>
      </c>
      <c r="F1992">
        <v>10</v>
      </c>
      <c r="H1992" t="s">
        <v>5</v>
      </c>
      <c r="I1992" s="1">
        <v>41.5</v>
      </c>
      <c r="J1992" s="1">
        <v>40.4</v>
      </c>
      <c r="K1992" t="s">
        <v>6</v>
      </c>
    </row>
    <row r="1993" spans="1:11">
      <c r="A1993" t="s">
        <v>2016</v>
      </c>
      <c r="B1993">
        <v>400886</v>
      </c>
      <c r="C1993" s="2" t="str">
        <f>"40130-4"</f>
        <v>40130-4</v>
      </c>
      <c r="D1993" t="s">
        <v>2025</v>
      </c>
      <c r="E1993" t="s">
        <v>4</v>
      </c>
      <c r="F1993">
        <v>8</v>
      </c>
      <c r="H1993" t="s">
        <v>5</v>
      </c>
      <c r="I1993" s="1">
        <v>72.540000000000006</v>
      </c>
      <c r="J1993" s="1">
        <v>68.25</v>
      </c>
      <c r="K1993" t="s">
        <v>6</v>
      </c>
    </row>
    <row r="1994" spans="1:11">
      <c r="A1994" t="s">
        <v>2016</v>
      </c>
      <c r="B1994">
        <v>562481</v>
      </c>
      <c r="C1994" s="2" t="str">
        <f>"50104"</f>
        <v>50104</v>
      </c>
      <c r="D1994" t="s">
        <v>2026</v>
      </c>
      <c r="E1994" t="s">
        <v>4</v>
      </c>
      <c r="F1994">
        <v>54</v>
      </c>
      <c r="H1994" t="s">
        <v>5</v>
      </c>
      <c r="I1994" s="1">
        <v>98.33</v>
      </c>
      <c r="J1994" s="1">
        <v>93.13</v>
      </c>
      <c r="K1994" t="s">
        <v>6</v>
      </c>
    </row>
    <row r="1995" spans="1:11">
      <c r="A1995" t="s">
        <v>2027</v>
      </c>
      <c r="B1995">
        <v>418359</v>
      </c>
      <c r="C1995" s="2" t="str">
        <f>"2979283"</f>
        <v>2979283</v>
      </c>
      <c r="D1995" t="s">
        <v>2028</v>
      </c>
      <c r="E1995" t="s">
        <v>4</v>
      </c>
      <c r="F1995">
        <v>37</v>
      </c>
      <c r="H1995" t="s">
        <v>5</v>
      </c>
      <c r="I1995" s="1">
        <v>70.5</v>
      </c>
      <c r="J1995" s="1">
        <v>69.099999999999994</v>
      </c>
      <c r="K1995" t="s">
        <v>6</v>
      </c>
    </row>
    <row r="1996" spans="1:11">
      <c r="A1996" t="s">
        <v>2027</v>
      </c>
      <c r="B1996">
        <v>411815</v>
      </c>
      <c r="C1996" s="2" t="str">
        <f>"2979401"</f>
        <v>2979401</v>
      </c>
      <c r="D1996" t="s">
        <v>2029</v>
      </c>
      <c r="E1996" t="s">
        <v>4</v>
      </c>
      <c r="F1996">
        <v>35.99</v>
      </c>
      <c r="H1996" t="s">
        <v>5</v>
      </c>
      <c r="I1996" s="1">
        <v>60.8</v>
      </c>
      <c r="J1996" s="1">
        <v>59.03</v>
      </c>
      <c r="K1996" t="s">
        <v>6</v>
      </c>
    </row>
    <row r="1997" spans="1:11">
      <c r="A1997" t="s">
        <v>2027</v>
      </c>
      <c r="B1997">
        <v>411825</v>
      </c>
      <c r="C1997" s="2" t="str">
        <f>"2979574"</f>
        <v>2979574</v>
      </c>
      <c r="D1997" t="s">
        <v>2030</v>
      </c>
      <c r="E1997" t="s">
        <v>4</v>
      </c>
      <c r="F1997">
        <v>21.7</v>
      </c>
      <c r="H1997" t="s">
        <v>6</v>
      </c>
      <c r="I1997" t="s">
        <v>1373</v>
      </c>
      <c r="J1997" t="s">
        <v>1374</v>
      </c>
      <c r="K1997" t="s">
        <v>6</v>
      </c>
    </row>
    <row r="1998" spans="1:11">
      <c r="A1998" t="s">
        <v>2027</v>
      </c>
      <c r="B1998">
        <v>467317</v>
      </c>
      <c r="C1998" s="2" t="str">
        <f>"3481049"</f>
        <v>3481049</v>
      </c>
      <c r="D1998" t="s">
        <v>2031</v>
      </c>
      <c r="E1998" t="s">
        <v>4</v>
      </c>
      <c r="F1998">
        <v>4.83</v>
      </c>
      <c r="H1998" t="s">
        <v>5</v>
      </c>
      <c r="I1998" s="1">
        <v>24.49</v>
      </c>
      <c r="J1998" s="1">
        <v>23.78</v>
      </c>
      <c r="K1998" t="s">
        <v>6</v>
      </c>
    </row>
    <row r="1999" spans="1:11">
      <c r="A1999" t="s">
        <v>2027</v>
      </c>
      <c r="B1999">
        <v>467320</v>
      </c>
      <c r="C1999" s="2" t="str">
        <f>"3481057"</f>
        <v>3481057</v>
      </c>
      <c r="D1999" t="s">
        <v>2032</v>
      </c>
      <c r="E1999" t="s">
        <v>4</v>
      </c>
      <c r="F1999">
        <v>4.9000000000000004</v>
      </c>
      <c r="H1999" t="s">
        <v>5</v>
      </c>
      <c r="I1999" s="1">
        <v>29.95</v>
      </c>
      <c r="J1999" s="1">
        <v>29.08</v>
      </c>
      <c r="K1999" t="s">
        <v>6</v>
      </c>
    </row>
    <row r="2000" spans="1:11">
      <c r="A2000" t="s">
        <v>2027</v>
      </c>
      <c r="B2000">
        <v>467318</v>
      </c>
      <c r="C2000" s="2" t="str">
        <f>"3719563"</f>
        <v>3719563</v>
      </c>
      <c r="D2000" t="s">
        <v>2033</v>
      </c>
      <c r="E2000" t="s">
        <v>4</v>
      </c>
      <c r="F2000">
        <v>4.7</v>
      </c>
      <c r="H2000" t="s">
        <v>5</v>
      </c>
      <c r="I2000" s="1">
        <v>35.61</v>
      </c>
      <c r="J2000" s="1">
        <v>34.57</v>
      </c>
      <c r="K2000" t="s">
        <v>6</v>
      </c>
    </row>
    <row r="2001" spans="1:11">
      <c r="A2001" t="s">
        <v>2027</v>
      </c>
      <c r="B2001">
        <v>528407</v>
      </c>
      <c r="C2001" s="2" t="str">
        <f>"3753251"</f>
        <v>3753251</v>
      </c>
      <c r="D2001" t="s">
        <v>2034</v>
      </c>
      <c r="E2001" t="s">
        <v>4</v>
      </c>
      <c r="F2001">
        <v>16.010000000000002</v>
      </c>
      <c r="H2001" t="s">
        <v>5</v>
      </c>
      <c r="I2001" s="1">
        <v>81.17</v>
      </c>
      <c r="J2001" s="1">
        <v>81.17</v>
      </c>
      <c r="K2001" t="s">
        <v>6</v>
      </c>
    </row>
    <row r="2002" spans="1:11">
      <c r="A2002" t="s">
        <v>2027</v>
      </c>
      <c r="B2002">
        <v>474061</v>
      </c>
      <c r="C2002" s="2" t="str">
        <f>"4203286"</f>
        <v>4203286</v>
      </c>
      <c r="D2002" t="s">
        <v>2035</v>
      </c>
      <c r="E2002" t="s">
        <v>4</v>
      </c>
      <c r="F2002">
        <v>10</v>
      </c>
      <c r="H2002" t="s">
        <v>5</v>
      </c>
      <c r="I2002" s="1">
        <v>64.47</v>
      </c>
      <c r="J2002" s="1">
        <v>62.6</v>
      </c>
      <c r="K2002" t="s">
        <v>6</v>
      </c>
    </row>
    <row r="2003" spans="1:11">
      <c r="A2003" t="s">
        <v>2027</v>
      </c>
      <c r="B2003">
        <v>473059</v>
      </c>
      <c r="C2003" s="2" t="str">
        <f>"4266359"</f>
        <v>4266359</v>
      </c>
      <c r="D2003" t="s">
        <v>2036</v>
      </c>
      <c r="E2003" t="s">
        <v>4</v>
      </c>
      <c r="F2003">
        <v>9.51</v>
      </c>
      <c r="H2003" t="s">
        <v>5</v>
      </c>
      <c r="I2003" s="1">
        <v>49.8</v>
      </c>
      <c r="J2003" s="1">
        <v>48.35</v>
      </c>
      <c r="K2003" t="s">
        <v>6</v>
      </c>
    </row>
    <row r="2004" spans="1:11">
      <c r="A2004" t="s">
        <v>2027</v>
      </c>
      <c r="B2004">
        <v>486087</v>
      </c>
      <c r="C2004" s="2" t="str">
        <f>"4559160"</f>
        <v>4559160</v>
      </c>
      <c r="D2004" t="s">
        <v>2037</v>
      </c>
      <c r="E2004" t="s">
        <v>4</v>
      </c>
      <c r="F2004">
        <v>4.51</v>
      </c>
      <c r="H2004" t="s">
        <v>6</v>
      </c>
      <c r="I2004" t="s">
        <v>1373</v>
      </c>
      <c r="J2004" t="s">
        <v>1374</v>
      </c>
      <c r="K2004" t="s">
        <v>6</v>
      </c>
    </row>
    <row r="2005" spans="1:11">
      <c r="A2005" t="s">
        <v>2027</v>
      </c>
      <c r="B2005">
        <v>492296</v>
      </c>
      <c r="C2005" s="2" t="str">
        <f>"4603095"</f>
        <v>4603095</v>
      </c>
      <c r="D2005" t="s">
        <v>2038</v>
      </c>
      <c r="E2005" t="s">
        <v>4</v>
      </c>
      <c r="F2005">
        <v>5.97</v>
      </c>
      <c r="H2005" t="s">
        <v>5</v>
      </c>
      <c r="I2005" s="1">
        <v>55.95</v>
      </c>
      <c r="J2005" s="1">
        <v>54.33</v>
      </c>
      <c r="K2005" t="s">
        <v>6</v>
      </c>
    </row>
    <row r="2006" spans="1:11">
      <c r="A2006" t="s">
        <v>2027</v>
      </c>
      <c r="B2006">
        <v>492295</v>
      </c>
      <c r="C2006" s="2" t="str">
        <f>"4977476"</f>
        <v>4977476</v>
      </c>
      <c r="D2006" t="s">
        <v>2039</v>
      </c>
      <c r="E2006" t="s">
        <v>4</v>
      </c>
      <c r="F2006">
        <v>7.5</v>
      </c>
      <c r="H2006" t="s">
        <v>5</v>
      </c>
      <c r="I2006" s="1">
        <v>56.29</v>
      </c>
      <c r="J2006" s="1">
        <v>54.65</v>
      </c>
      <c r="K2006" t="s">
        <v>6</v>
      </c>
    </row>
    <row r="2007" spans="1:11">
      <c r="A2007" t="s">
        <v>2027</v>
      </c>
      <c r="B2007">
        <v>523679</v>
      </c>
      <c r="C2007" s="2" t="str">
        <f>"5019481"</f>
        <v>5019481</v>
      </c>
      <c r="D2007" t="s">
        <v>2040</v>
      </c>
      <c r="E2007" t="s">
        <v>4</v>
      </c>
      <c r="F2007">
        <v>8.09</v>
      </c>
      <c r="H2007" t="s">
        <v>5</v>
      </c>
      <c r="I2007" s="1">
        <v>55.97</v>
      </c>
      <c r="J2007" s="1">
        <v>54.34</v>
      </c>
      <c r="K2007" t="s">
        <v>6</v>
      </c>
    </row>
    <row r="2008" spans="1:11">
      <c r="A2008" t="s">
        <v>2027</v>
      </c>
      <c r="B2008">
        <v>553381</v>
      </c>
      <c r="C2008" s="2" t="str">
        <f>"5293851"</f>
        <v>5293851</v>
      </c>
      <c r="D2008" t="s">
        <v>2041</v>
      </c>
      <c r="E2008" t="s">
        <v>4</v>
      </c>
      <c r="F2008">
        <v>10.36</v>
      </c>
      <c r="H2008" t="s">
        <v>5</v>
      </c>
      <c r="I2008" s="1">
        <v>38.909999999999997</v>
      </c>
      <c r="J2008" s="1">
        <v>38.06</v>
      </c>
      <c r="K2008" t="s">
        <v>6</v>
      </c>
    </row>
    <row r="2009" spans="1:11">
      <c r="A2009" t="s">
        <v>2027</v>
      </c>
      <c r="B2009">
        <v>553379</v>
      </c>
      <c r="C2009" s="2" t="str">
        <f>"5298951"</f>
        <v>5298951</v>
      </c>
      <c r="D2009" t="s">
        <v>2042</v>
      </c>
      <c r="E2009" t="s">
        <v>4</v>
      </c>
      <c r="F2009">
        <v>8</v>
      </c>
      <c r="H2009" t="s">
        <v>5</v>
      </c>
      <c r="I2009" s="1">
        <v>1.3</v>
      </c>
      <c r="J2009" s="1">
        <v>1.3</v>
      </c>
      <c r="K2009" t="s">
        <v>6</v>
      </c>
    </row>
    <row r="2010" spans="1:11">
      <c r="A2010" t="s">
        <v>2027</v>
      </c>
      <c r="B2010">
        <v>551066</v>
      </c>
      <c r="C2010" s="2" t="str">
        <f>"5585968"</f>
        <v>5585968</v>
      </c>
      <c r="D2010" t="s">
        <v>2043</v>
      </c>
      <c r="E2010" t="s">
        <v>4</v>
      </c>
      <c r="F2010">
        <v>37.4</v>
      </c>
      <c r="H2010" t="s">
        <v>5</v>
      </c>
      <c r="I2010" s="1">
        <v>48.46</v>
      </c>
      <c r="J2010" s="1">
        <v>47.05</v>
      </c>
      <c r="K2010" t="s">
        <v>6</v>
      </c>
    </row>
    <row r="2011" spans="1:11">
      <c r="A2011" t="s">
        <v>2027</v>
      </c>
      <c r="B2011">
        <v>557351</v>
      </c>
      <c r="C2011" s="2" t="str">
        <f>"5643929"</f>
        <v>5643929</v>
      </c>
      <c r="D2011" t="s">
        <v>2044</v>
      </c>
      <c r="E2011" t="s">
        <v>4</v>
      </c>
      <c r="F2011">
        <v>10.58</v>
      </c>
      <c r="H2011" t="s">
        <v>5</v>
      </c>
      <c r="I2011" s="1">
        <v>26.26</v>
      </c>
      <c r="J2011" s="1">
        <v>25.69</v>
      </c>
      <c r="K2011" t="s">
        <v>6</v>
      </c>
    </row>
    <row r="2012" spans="1:11">
      <c r="A2012" t="s">
        <v>2027</v>
      </c>
      <c r="B2012">
        <v>553382</v>
      </c>
      <c r="C2012" s="2" t="str">
        <f>"5643961"</f>
        <v>5643961</v>
      </c>
      <c r="D2012" t="s">
        <v>2045</v>
      </c>
      <c r="E2012" t="s">
        <v>4</v>
      </c>
      <c r="F2012">
        <v>10.36</v>
      </c>
      <c r="H2012" t="s">
        <v>5</v>
      </c>
      <c r="I2012" s="1">
        <v>34.1</v>
      </c>
      <c r="J2012" s="1">
        <v>33.36</v>
      </c>
      <c r="K2012" t="s">
        <v>6</v>
      </c>
    </row>
    <row r="2013" spans="1:11">
      <c r="A2013" t="s">
        <v>2027</v>
      </c>
      <c r="B2013">
        <v>570303</v>
      </c>
      <c r="C2013" s="2" t="str">
        <f>"5729360"</f>
        <v>5729360</v>
      </c>
      <c r="D2013" t="s">
        <v>2046</v>
      </c>
      <c r="E2013" t="s">
        <v>4</v>
      </c>
      <c r="F2013">
        <v>37.26</v>
      </c>
      <c r="H2013" t="s">
        <v>5</v>
      </c>
      <c r="I2013" s="1">
        <v>46.35</v>
      </c>
      <c r="J2013" s="1">
        <v>44.99</v>
      </c>
      <c r="K2013" t="s">
        <v>6</v>
      </c>
    </row>
    <row r="2014" spans="1:11">
      <c r="A2014" t="s">
        <v>2027</v>
      </c>
      <c r="B2014">
        <v>570288</v>
      </c>
      <c r="C2014" s="2" t="str">
        <f>"5729757"</f>
        <v>5729757</v>
      </c>
      <c r="D2014" t="s">
        <v>2047</v>
      </c>
      <c r="E2014" t="s">
        <v>4</v>
      </c>
      <c r="F2014">
        <v>19.18</v>
      </c>
      <c r="H2014" t="s">
        <v>5</v>
      </c>
      <c r="I2014" s="1">
        <v>29.2</v>
      </c>
      <c r="J2014" s="1">
        <v>28.35</v>
      </c>
      <c r="K2014" t="s">
        <v>6</v>
      </c>
    </row>
    <row r="2015" spans="1:11">
      <c r="A2015" t="s">
        <v>2027</v>
      </c>
      <c r="B2015">
        <v>570289</v>
      </c>
      <c r="C2015" s="2" t="str">
        <f>"5729765"</f>
        <v>5729765</v>
      </c>
      <c r="D2015" t="s">
        <v>2048</v>
      </c>
      <c r="E2015" t="s">
        <v>4</v>
      </c>
      <c r="F2015">
        <v>37.450000000000003</v>
      </c>
      <c r="H2015" t="s">
        <v>5</v>
      </c>
      <c r="I2015" s="1">
        <v>50.8</v>
      </c>
      <c r="J2015" s="1">
        <v>49.32</v>
      </c>
      <c r="K2015" t="s">
        <v>6</v>
      </c>
    </row>
    <row r="2016" spans="1:11">
      <c r="A2016" t="s">
        <v>2027</v>
      </c>
      <c r="B2016">
        <v>570290</v>
      </c>
      <c r="C2016" s="2" t="str">
        <f>"5729773"</f>
        <v>5729773</v>
      </c>
      <c r="D2016" t="s">
        <v>2049</v>
      </c>
      <c r="E2016" t="s">
        <v>4</v>
      </c>
      <c r="F2016">
        <v>38</v>
      </c>
      <c r="H2016" t="s">
        <v>5</v>
      </c>
      <c r="I2016" s="1">
        <v>48.26</v>
      </c>
      <c r="J2016" s="1">
        <v>46.85</v>
      </c>
      <c r="K2016" t="s">
        <v>6</v>
      </c>
    </row>
    <row r="2017" spans="1:11">
      <c r="A2017" t="s">
        <v>2027</v>
      </c>
      <c r="B2017">
        <v>570301</v>
      </c>
      <c r="C2017" s="2" t="str">
        <f>"5729802"</f>
        <v>5729802</v>
      </c>
      <c r="D2017" t="s">
        <v>2050</v>
      </c>
      <c r="E2017" t="s">
        <v>4</v>
      </c>
      <c r="F2017">
        <v>19.559999999999999</v>
      </c>
      <c r="H2017" t="s">
        <v>5</v>
      </c>
      <c r="I2017" s="1">
        <v>69.02</v>
      </c>
      <c r="J2017" s="1">
        <v>67</v>
      </c>
      <c r="K2017" t="s">
        <v>6</v>
      </c>
    </row>
    <row r="2018" spans="1:11">
      <c r="A2018" t="s">
        <v>2027</v>
      </c>
      <c r="B2018">
        <v>570302</v>
      </c>
      <c r="C2018" s="2" t="str">
        <f>"5729811"</f>
        <v>5729811</v>
      </c>
      <c r="D2018" t="s">
        <v>2051</v>
      </c>
      <c r="E2018" t="s">
        <v>4</v>
      </c>
      <c r="F2018">
        <v>25.82</v>
      </c>
      <c r="H2018" t="s">
        <v>5</v>
      </c>
      <c r="I2018" s="1">
        <v>36.83</v>
      </c>
      <c r="J2018" s="1">
        <v>35.75</v>
      </c>
      <c r="K2018" t="s">
        <v>6</v>
      </c>
    </row>
    <row r="2019" spans="1:11">
      <c r="A2019" t="s">
        <v>2027</v>
      </c>
      <c r="B2019">
        <v>570304</v>
      </c>
      <c r="C2019" s="2" t="str">
        <f>"5729829"</f>
        <v>5729829</v>
      </c>
      <c r="D2019" t="s">
        <v>2052</v>
      </c>
      <c r="E2019" t="s">
        <v>4</v>
      </c>
      <c r="F2019">
        <v>30.3</v>
      </c>
      <c r="H2019" t="s">
        <v>5</v>
      </c>
      <c r="I2019" s="1">
        <v>39.1</v>
      </c>
      <c r="J2019" s="1">
        <v>37.96</v>
      </c>
      <c r="K2019" t="s">
        <v>6</v>
      </c>
    </row>
    <row r="2020" spans="1:11">
      <c r="A2020" t="s">
        <v>2027</v>
      </c>
      <c r="B2020">
        <v>570305</v>
      </c>
      <c r="C2020" s="2" t="str">
        <f>"5729837"</f>
        <v>5729837</v>
      </c>
      <c r="D2020" t="s">
        <v>2053</v>
      </c>
      <c r="E2020" t="s">
        <v>4</v>
      </c>
      <c r="F2020">
        <v>46.86</v>
      </c>
      <c r="H2020" t="s">
        <v>5</v>
      </c>
      <c r="I2020" s="1">
        <v>57.69</v>
      </c>
      <c r="J2020" s="1">
        <v>56.02</v>
      </c>
      <c r="K2020" t="s">
        <v>6</v>
      </c>
    </row>
    <row r="2021" spans="1:11">
      <c r="A2021" t="s">
        <v>2027</v>
      </c>
      <c r="B2021">
        <v>570313</v>
      </c>
      <c r="C2021" s="2" t="str">
        <f>"5729888"</f>
        <v>5729888</v>
      </c>
      <c r="D2021" t="s">
        <v>2054</v>
      </c>
      <c r="E2021" t="s">
        <v>4</v>
      </c>
      <c r="F2021">
        <v>19.61</v>
      </c>
      <c r="H2021" t="s">
        <v>5</v>
      </c>
      <c r="I2021" s="1">
        <v>35.19</v>
      </c>
      <c r="J2021" s="1">
        <v>34.159999999999997</v>
      </c>
      <c r="K2021" t="s">
        <v>6</v>
      </c>
    </row>
    <row r="2022" spans="1:11">
      <c r="A2022" t="s">
        <v>2027</v>
      </c>
      <c r="B2022">
        <v>570314</v>
      </c>
      <c r="C2022" s="2" t="str">
        <f>"5729896"</f>
        <v>5729896</v>
      </c>
      <c r="D2022" t="s">
        <v>2055</v>
      </c>
      <c r="E2022" t="s">
        <v>4</v>
      </c>
      <c r="F2022">
        <v>34.04</v>
      </c>
      <c r="H2022" t="s">
        <v>5</v>
      </c>
      <c r="I2022" s="1">
        <v>51.16</v>
      </c>
      <c r="J2022" s="1">
        <v>49.66</v>
      </c>
      <c r="K2022" t="s">
        <v>6</v>
      </c>
    </row>
    <row r="2023" spans="1:11">
      <c r="A2023" t="s">
        <v>2027</v>
      </c>
      <c r="B2023">
        <v>569716</v>
      </c>
      <c r="C2023" s="2" t="str">
        <f>"5763074"</f>
        <v>5763074</v>
      </c>
      <c r="D2023" t="s">
        <v>2056</v>
      </c>
      <c r="E2023" t="s">
        <v>4</v>
      </c>
      <c r="F2023">
        <v>7.3</v>
      </c>
      <c r="H2023" t="s">
        <v>5</v>
      </c>
      <c r="I2023" s="1">
        <v>33.020000000000003</v>
      </c>
      <c r="J2023" s="1">
        <v>32.31</v>
      </c>
      <c r="K2023" t="s">
        <v>6</v>
      </c>
    </row>
    <row r="2024" spans="1:11">
      <c r="A2024" t="s">
        <v>2027</v>
      </c>
      <c r="B2024">
        <v>570283</v>
      </c>
      <c r="C2024" s="2" t="str">
        <f>"5769089"</f>
        <v>5769089</v>
      </c>
      <c r="D2024" t="s">
        <v>2057</v>
      </c>
      <c r="E2024" t="s">
        <v>4</v>
      </c>
      <c r="F2024">
        <v>19.23</v>
      </c>
      <c r="H2024" t="s">
        <v>5</v>
      </c>
      <c r="I2024" s="1">
        <v>40.630000000000003</v>
      </c>
      <c r="J2024" s="1">
        <v>39.44</v>
      </c>
      <c r="K2024" t="s">
        <v>6</v>
      </c>
    </row>
    <row r="2025" spans="1:11">
      <c r="A2025" t="s">
        <v>2027</v>
      </c>
      <c r="B2025">
        <v>570284</v>
      </c>
      <c r="C2025" s="2" t="str">
        <f>"5769100"</f>
        <v>5769100</v>
      </c>
      <c r="D2025" t="s">
        <v>2058</v>
      </c>
      <c r="E2025" t="s">
        <v>4</v>
      </c>
      <c r="F2025">
        <v>38.1</v>
      </c>
      <c r="H2025" t="s">
        <v>5</v>
      </c>
      <c r="I2025" s="1">
        <v>53.44</v>
      </c>
      <c r="J2025" s="1">
        <v>51.88</v>
      </c>
      <c r="K2025" t="s">
        <v>6</v>
      </c>
    </row>
    <row r="2026" spans="1:11">
      <c r="A2026" t="s">
        <v>2027</v>
      </c>
      <c r="B2026">
        <v>570296</v>
      </c>
      <c r="C2026" s="2" t="str">
        <f>"5777628"</f>
        <v>5777628</v>
      </c>
      <c r="D2026" t="s">
        <v>2059</v>
      </c>
      <c r="E2026" t="s">
        <v>4</v>
      </c>
      <c r="F2026">
        <v>17.84</v>
      </c>
      <c r="H2026" t="s">
        <v>5</v>
      </c>
      <c r="I2026" s="1">
        <v>18.95</v>
      </c>
      <c r="J2026" s="1">
        <v>18.41</v>
      </c>
      <c r="K2026" t="s">
        <v>6</v>
      </c>
    </row>
    <row r="2027" spans="1:11">
      <c r="A2027" t="s">
        <v>2027</v>
      </c>
      <c r="B2027">
        <v>570297</v>
      </c>
      <c r="C2027" s="2" t="str">
        <f>"5777687"</f>
        <v>5777687</v>
      </c>
      <c r="D2027" t="s">
        <v>2060</v>
      </c>
      <c r="E2027" t="s">
        <v>4</v>
      </c>
      <c r="F2027">
        <v>34.159999999999997</v>
      </c>
      <c r="H2027" t="s">
        <v>5</v>
      </c>
      <c r="I2027" s="1">
        <v>31.34</v>
      </c>
      <c r="J2027" s="1">
        <v>30.43</v>
      </c>
      <c r="K2027" t="s">
        <v>6</v>
      </c>
    </row>
    <row r="2028" spans="1:11">
      <c r="A2028" t="s">
        <v>2027</v>
      </c>
      <c r="B2028">
        <v>570298</v>
      </c>
      <c r="C2028" s="2" t="str">
        <f>"5777724"</f>
        <v>5777724</v>
      </c>
      <c r="D2028" t="s">
        <v>2061</v>
      </c>
      <c r="E2028" t="s">
        <v>4</v>
      </c>
      <c r="F2028">
        <v>35.299999999999997</v>
      </c>
      <c r="H2028" t="s">
        <v>5</v>
      </c>
      <c r="I2028" s="1">
        <v>30.69</v>
      </c>
      <c r="J2028" s="1">
        <v>29.8</v>
      </c>
      <c r="K2028" t="s">
        <v>6</v>
      </c>
    </row>
    <row r="2029" spans="1:11">
      <c r="A2029" t="s">
        <v>2027</v>
      </c>
      <c r="B2029">
        <v>570285</v>
      </c>
      <c r="C2029" s="2" t="str">
        <f>"5792182"</f>
        <v>5792182</v>
      </c>
      <c r="D2029" t="s">
        <v>2062</v>
      </c>
      <c r="E2029" t="s">
        <v>4</v>
      </c>
      <c r="F2029">
        <v>18.96</v>
      </c>
      <c r="H2029" t="s">
        <v>5</v>
      </c>
      <c r="I2029" s="1">
        <v>37.950000000000003</v>
      </c>
      <c r="J2029" s="1">
        <v>36.840000000000003</v>
      </c>
      <c r="K2029" t="s">
        <v>6</v>
      </c>
    </row>
    <row r="2030" spans="1:11">
      <c r="A2030" t="s">
        <v>2027</v>
      </c>
      <c r="B2030">
        <v>570286</v>
      </c>
      <c r="C2030" s="2" t="str">
        <f>"5792191"</f>
        <v>5792191</v>
      </c>
      <c r="D2030" t="s">
        <v>2063</v>
      </c>
      <c r="E2030" t="s">
        <v>4</v>
      </c>
      <c r="F2030">
        <v>37</v>
      </c>
      <c r="H2030" t="s">
        <v>5</v>
      </c>
      <c r="I2030" s="1">
        <v>75.89</v>
      </c>
      <c r="J2030" s="1">
        <v>73.680000000000007</v>
      </c>
      <c r="K2030" t="s">
        <v>6</v>
      </c>
    </row>
    <row r="2031" spans="1:11">
      <c r="A2031" t="s">
        <v>2027</v>
      </c>
      <c r="B2031">
        <v>570287</v>
      </c>
      <c r="C2031" s="2" t="str">
        <f>"5792203"</f>
        <v>5792203</v>
      </c>
      <c r="D2031" t="s">
        <v>2064</v>
      </c>
      <c r="E2031" t="s">
        <v>4</v>
      </c>
      <c r="F2031">
        <v>37.57</v>
      </c>
      <c r="H2031" t="s">
        <v>5</v>
      </c>
      <c r="I2031" s="1">
        <v>71.34</v>
      </c>
      <c r="J2031" s="1">
        <v>69.260000000000005</v>
      </c>
      <c r="K2031" t="s">
        <v>6</v>
      </c>
    </row>
    <row r="2032" spans="1:11">
      <c r="A2032" t="s">
        <v>2027</v>
      </c>
      <c r="B2032">
        <v>570311</v>
      </c>
      <c r="C2032" s="2" t="str">
        <f>"5792220"</f>
        <v>5792220</v>
      </c>
      <c r="D2032" t="s">
        <v>2065</v>
      </c>
      <c r="E2032" t="s">
        <v>4</v>
      </c>
      <c r="F2032">
        <v>10</v>
      </c>
      <c r="H2032" t="s">
        <v>5</v>
      </c>
      <c r="I2032" s="1">
        <v>28.33</v>
      </c>
      <c r="J2032" s="1">
        <v>27.51</v>
      </c>
      <c r="K2032" t="s">
        <v>6</v>
      </c>
    </row>
    <row r="2033" spans="1:11">
      <c r="A2033" t="s">
        <v>2027</v>
      </c>
      <c r="B2033">
        <v>570280</v>
      </c>
      <c r="C2033" s="2" t="str">
        <f>"5833861"</f>
        <v>5833861</v>
      </c>
      <c r="D2033" t="s">
        <v>2066</v>
      </c>
      <c r="E2033" t="s">
        <v>4</v>
      </c>
      <c r="F2033">
        <v>19.14</v>
      </c>
      <c r="H2033" t="s">
        <v>5</v>
      </c>
      <c r="I2033" s="1">
        <v>48.62</v>
      </c>
      <c r="J2033" s="1">
        <v>47.2</v>
      </c>
      <c r="K2033" t="s">
        <v>6</v>
      </c>
    </row>
    <row r="2034" spans="1:11">
      <c r="A2034" t="s">
        <v>2027</v>
      </c>
      <c r="B2034">
        <v>570281</v>
      </c>
      <c r="C2034" s="2" t="str">
        <f>"5833870"</f>
        <v>5833870</v>
      </c>
      <c r="D2034" t="s">
        <v>2067</v>
      </c>
      <c r="E2034" t="s">
        <v>4</v>
      </c>
      <c r="F2034">
        <v>37.950000000000003</v>
      </c>
      <c r="H2034" t="s">
        <v>5</v>
      </c>
      <c r="I2034" s="1">
        <v>83.94</v>
      </c>
      <c r="J2034" s="1">
        <v>81.5</v>
      </c>
      <c r="K2034" t="s">
        <v>6</v>
      </c>
    </row>
    <row r="2035" spans="1:11">
      <c r="A2035" t="s">
        <v>2027</v>
      </c>
      <c r="B2035">
        <v>570282</v>
      </c>
      <c r="C2035" s="2" t="str">
        <f>"5833888"</f>
        <v>5833888</v>
      </c>
      <c r="D2035" t="s">
        <v>2068</v>
      </c>
      <c r="E2035" t="s">
        <v>4</v>
      </c>
      <c r="F2035">
        <v>37.9</v>
      </c>
      <c r="H2035" t="s">
        <v>5</v>
      </c>
      <c r="I2035" s="1">
        <v>79.760000000000005</v>
      </c>
      <c r="J2035" s="1">
        <v>77.430000000000007</v>
      </c>
      <c r="K2035" t="s">
        <v>6</v>
      </c>
    </row>
    <row r="2036" spans="1:11">
      <c r="A2036" t="s">
        <v>2027</v>
      </c>
      <c r="B2036">
        <v>570306</v>
      </c>
      <c r="C2036" s="2" t="str">
        <f>"5850506"</f>
        <v>5850506</v>
      </c>
      <c r="D2036" t="s">
        <v>2069</v>
      </c>
      <c r="E2036" t="s">
        <v>4</v>
      </c>
      <c r="F2036">
        <v>26.02</v>
      </c>
      <c r="H2036" t="s">
        <v>5</v>
      </c>
      <c r="I2036" s="1">
        <v>36.83</v>
      </c>
      <c r="J2036" s="1">
        <v>35.75</v>
      </c>
      <c r="K2036" t="s">
        <v>6</v>
      </c>
    </row>
    <row r="2037" spans="1:11">
      <c r="A2037" t="s">
        <v>2027</v>
      </c>
      <c r="B2037">
        <v>570307</v>
      </c>
      <c r="C2037" s="2" t="str">
        <f>"5850557"</f>
        <v>5850557</v>
      </c>
      <c r="D2037" t="s">
        <v>2070</v>
      </c>
      <c r="E2037" t="s">
        <v>4</v>
      </c>
      <c r="F2037">
        <v>37.549999999999997</v>
      </c>
      <c r="H2037" t="s">
        <v>5</v>
      </c>
      <c r="I2037" s="1">
        <v>46.35</v>
      </c>
      <c r="J2037" s="1">
        <v>44.99</v>
      </c>
      <c r="K2037" t="s">
        <v>6</v>
      </c>
    </row>
    <row r="2038" spans="1:11">
      <c r="A2038" t="s">
        <v>2027</v>
      </c>
      <c r="B2038">
        <v>402560</v>
      </c>
      <c r="C2038" s="2" t="str">
        <f>"90122"</f>
        <v>90122</v>
      </c>
      <c r="D2038" t="s">
        <v>2071</v>
      </c>
      <c r="E2038" t="s">
        <v>4</v>
      </c>
      <c r="F2038">
        <v>43.62</v>
      </c>
      <c r="H2038" t="s">
        <v>5</v>
      </c>
      <c r="I2038" s="1">
        <v>41.15</v>
      </c>
      <c r="J2038" s="1">
        <v>39.950000000000003</v>
      </c>
      <c r="K2038" t="s">
        <v>6</v>
      </c>
    </row>
    <row r="2039" spans="1:11">
      <c r="A2039" t="s">
        <v>2027</v>
      </c>
      <c r="B2039">
        <v>369396</v>
      </c>
      <c r="C2039" s="2" t="str">
        <f>"90129"</f>
        <v>90129</v>
      </c>
      <c r="D2039" t="s">
        <v>2072</v>
      </c>
      <c r="E2039" t="s">
        <v>4</v>
      </c>
      <c r="F2039">
        <v>19</v>
      </c>
      <c r="H2039" t="s">
        <v>5</v>
      </c>
      <c r="I2039" s="1">
        <v>51.09</v>
      </c>
      <c r="J2039" s="1">
        <v>49.61</v>
      </c>
      <c r="K2039" t="s">
        <v>6</v>
      </c>
    </row>
    <row r="2040" spans="1:11">
      <c r="A2040" t="s">
        <v>2027</v>
      </c>
      <c r="B2040">
        <v>396876</v>
      </c>
      <c r="C2040" s="2" t="str">
        <f>"90135"</f>
        <v>90135</v>
      </c>
      <c r="D2040" t="s">
        <v>2073</v>
      </c>
      <c r="E2040" t="s">
        <v>4</v>
      </c>
      <c r="F2040">
        <v>28.37</v>
      </c>
      <c r="H2040" t="s">
        <v>5</v>
      </c>
      <c r="I2040" s="1">
        <v>60.06</v>
      </c>
      <c r="J2040" s="1">
        <v>58.31</v>
      </c>
      <c r="K2040" t="s">
        <v>6</v>
      </c>
    </row>
    <row r="2041" spans="1:11">
      <c r="A2041" t="s">
        <v>2027</v>
      </c>
      <c r="B2041">
        <v>369286</v>
      </c>
      <c r="C2041" s="2" t="str">
        <f>"90139"</f>
        <v>90139</v>
      </c>
      <c r="D2041" t="s">
        <v>2074</v>
      </c>
      <c r="E2041" t="s">
        <v>4</v>
      </c>
      <c r="F2041">
        <v>28.37</v>
      </c>
      <c r="H2041" t="s">
        <v>5</v>
      </c>
      <c r="I2041" s="1">
        <v>60.06</v>
      </c>
      <c r="J2041" s="1">
        <v>58.31</v>
      </c>
      <c r="K2041" t="s">
        <v>6</v>
      </c>
    </row>
    <row r="2042" spans="1:11">
      <c r="A2042" t="s">
        <v>2027</v>
      </c>
      <c r="B2042">
        <v>386916</v>
      </c>
      <c r="C2042" s="2" t="str">
        <f>"90156"</f>
        <v>90156</v>
      </c>
      <c r="D2042" t="s">
        <v>2075</v>
      </c>
      <c r="E2042" t="s">
        <v>4</v>
      </c>
      <c r="F2042">
        <v>14.95</v>
      </c>
      <c r="H2042" t="s">
        <v>5</v>
      </c>
      <c r="I2042" s="1">
        <v>43.24</v>
      </c>
      <c r="J2042" s="1">
        <v>41.98</v>
      </c>
      <c r="K2042" t="s">
        <v>6</v>
      </c>
    </row>
    <row r="2043" spans="1:11">
      <c r="A2043" t="s">
        <v>2027</v>
      </c>
      <c r="B2043">
        <v>369990</v>
      </c>
      <c r="C2043" s="2" t="str">
        <f>"90158"</f>
        <v>90158</v>
      </c>
      <c r="D2043" t="s">
        <v>2076</v>
      </c>
      <c r="E2043" t="s">
        <v>4</v>
      </c>
      <c r="F2043">
        <v>14.55</v>
      </c>
      <c r="H2043" t="s">
        <v>5</v>
      </c>
      <c r="I2043" s="1">
        <v>27.03</v>
      </c>
      <c r="J2043" s="1">
        <v>26.23</v>
      </c>
      <c r="K2043" t="s">
        <v>6</v>
      </c>
    </row>
    <row r="2044" spans="1:11">
      <c r="A2044" t="s">
        <v>2027</v>
      </c>
      <c r="B2044">
        <v>398504</v>
      </c>
      <c r="C2044" s="2" t="str">
        <f>"90201"</f>
        <v>90201</v>
      </c>
      <c r="D2044" t="s">
        <v>2077</v>
      </c>
      <c r="E2044" t="s">
        <v>4</v>
      </c>
      <c r="F2044">
        <v>8.75</v>
      </c>
      <c r="H2044" t="s">
        <v>5</v>
      </c>
      <c r="I2044" s="1">
        <v>37.97</v>
      </c>
      <c r="J2044" s="1">
        <v>36.869999999999997</v>
      </c>
      <c r="K2044" t="s">
        <v>6</v>
      </c>
    </row>
    <row r="2045" spans="1:11">
      <c r="A2045" t="s">
        <v>2027</v>
      </c>
      <c r="B2045">
        <v>398507</v>
      </c>
      <c r="C2045" s="2" t="str">
        <f>"90203"</f>
        <v>90203</v>
      </c>
      <c r="D2045" t="s">
        <v>2078</v>
      </c>
      <c r="E2045" t="s">
        <v>4</v>
      </c>
      <c r="F2045">
        <v>4</v>
      </c>
      <c r="H2045" t="s">
        <v>5</v>
      </c>
      <c r="I2045" s="1">
        <v>50.71</v>
      </c>
      <c r="J2045" s="1">
        <v>49.23</v>
      </c>
      <c r="K2045" t="s">
        <v>6</v>
      </c>
    </row>
    <row r="2046" spans="1:11">
      <c r="A2046" t="s">
        <v>2027</v>
      </c>
      <c r="B2046">
        <v>369317</v>
      </c>
      <c r="C2046" s="2" t="str">
        <f>"90221"</f>
        <v>90221</v>
      </c>
      <c r="D2046" t="s">
        <v>2079</v>
      </c>
      <c r="E2046" t="s">
        <v>4</v>
      </c>
      <c r="F2046">
        <v>4.1500000000000004</v>
      </c>
      <c r="H2046" t="s">
        <v>5</v>
      </c>
      <c r="I2046" s="1">
        <v>31.34</v>
      </c>
      <c r="J2046" s="1">
        <v>30.43</v>
      </c>
      <c r="K2046" t="s">
        <v>6</v>
      </c>
    </row>
    <row r="2047" spans="1:11">
      <c r="A2047" t="s">
        <v>2027</v>
      </c>
      <c r="B2047">
        <v>398506</v>
      </c>
      <c r="C2047" s="2" t="str">
        <f>"90222"</f>
        <v>90222</v>
      </c>
      <c r="D2047" t="s">
        <v>2080</v>
      </c>
      <c r="E2047" t="s">
        <v>4</v>
      </c>
      <c r="F2047">
        <v>4.29</v>
      </c>
      <c r="H2047" t="s">
        <v>5</v>
      </c>
      <c r="I2047" s="1">
        <v>26.82</v>
      </c>
      <c r="J2047" s="1">
        <v>26.04</v>
      </c>
      <c r="K2047" t="s">
        <v>6</v>
      </c>
    </row>
    <row r="2048" spans="1:11">
      <c r="A2048" t="s">
        <v>2027</v>
      </c>
      <c r="B2048">
        <v>369268</v>
      </c>
      <c r="C2048" s="2" t="str">
        <f>"90223"</f>
        <v>90223</v>
      </c>
      <c r="D2048" t="s">
        <v>2081</v>
      </c>
      <c r="E2048" t="s">
        <v>4</v>
      </c>
      <c r="F2048">
        <v>2.1</v>
      </c>
      <c r="H2048" t="s">
        <v>5</v>
      </c>
      <c r="I2048" s="1">
        <v>30.73</v>
      </c>
      <c r="J2048" s="1">
        <v>29.84</v>
      </c>
      <c r="K2048" t="s">
        <v>6</v>
      </c>
    </row>
    <row r="2049" spans="1:11">
      <c r="A2049" t="s">
        <v>2027</v>
      </c>
      <c r="B2049">
        <v>369257</v>
      </c>
      <c r="C2049" s="2" t="str">
        <f>"90224"</f>
        <v>90224</v>
      </c>
      <c r="D2049" t="s">
        <v>2082</v>
      </c>
      <c r="E2049" t="s">
        <v>4</v>
      </c>
      <c r="F2049">
        <v>4.1500000000000004</v>
      </c>
      <c r="H2049" t="s">
        <v>5</v>
      </c>
      <c r="I2049" s="1">
        <v>31.34</v>
      </c>
      <c r="J2049" s="1">
        <v>30.43</v>
      </c>
      <c r="K2049" t="s">
        <v>6</v>
      </c>
    </row>
    <row r="2050" spans="1:11">
      <c r="A2050" t="s">
        <v>2027</v>
      </c>
      <c r="B2050">
        <v>377937</v>
      </c>
      <c r="C2050" s="2" t="str">
        <f>"90228"</f>
        <v>90228</v>
      </c>
      <c r="D2050" t="s">
        <v>2083</v>
      </c>
      <c r="E2050" t="s">
        <v>4</v>
      </c>
      <c r="F2050">
        <v>18.41</v>
      </c>
      <c r="H2050" t="s">
        <v>5</v>
      </c>
      <c r="I2050" s="1">
        <v>37.32</v>
      </c>
      <c r="J2050" s="1">
        <v>36.229999999999997</v>
      </c>
      <c r="K2050" t="s">
        <v>6</v>
      </c>
    </row>
    <row r="2051" spans="1:11">
      <c r="A2051" t="s">
        <v>2027</v>
      </c>
      <c r="B2051">
        <v>369303</v>
      </c>
      <c r="C2051" s="2" t="str">
        <f>"90234"</f>
        <v>90234</v>
      </c>
      <c r="D2051" t="s">
        <v>2084</v>
      </c>
      <c r="E2051" t="s">
        <v>4</v>
      </c>
      <c r="F2051">
        <v>7.01</v>
      </c>
      <c r="H2051" t="s">
        <v>5</v>
      </c>
      <c r="I2051" s="1">
        <v>62.54</v>
      </c>
      <c r="J2051" s="1">
        <v>60.72</v>
      </c>
      <c r="K2051" t="s">
        <v>6</v>
      </c>
    </row>
    <row r="2052" spans="1:11">
      <c r="A2052" t="s">
        <v>2027</v>
      </c>
      <c r="B2052">
        <v>398502</v>
      </c>
      <c r="C2052" s="2" t="str">
        <f>"90241"</f>
        <v>90241</v>
      </c>
      <c r="D2052" t="s">
        <v>2085</v>
      </c>
      <c r="E2052" t="s">
        <v>4</v>
      </c>
      <c r="F2052">
        <v>8.75</v>
      </c>
      <c r="H2052" t="s">
        <v>5</v>
      </c>
      <c r="I2052" s="1">
        <v>37.97</v>
      </c>
      <c r="J2052" s="1">
        <v>36.869999999999997</v>
      </c>
      <c r="K2052" t="s">
        <v>6</v>
      </c>
    </row>
    <row r="2053" spans="1:11">
      <c r="A2053" t="s">
        <v>2027</v>
      </c>
      <c r="B2053">
        <v>386919</v>
      </c>
      <c r="C2053" s="2" t="str">
        <f>"90651"</f>
        <v>90651</v>
      </c>
      <c r="D2053" t="s">
        <v>2086</v>
      </c>
      <c r="E2053" t="s">
        <v>4</v>
      </c>
      <c r="F2053">
        <v>7.45</v>
      </c>
      <c r="H2053" t="s">
        <v>5</v>
      </c>
      <c r="I2053" s="1">
        <v>48.74</v>
      </c>
      <c r="J2053" s="1">
        <v>47.32</v>
      </c>
      <c r="K2053" t="s">
        <v>6</v>
      </c>
    </row>
    <row r="2054" spans="1:11">
      <c r="A2054" t="s">
        <v>2027</v>
      </c>
      <c r="B2054">
        <v>396878</v>
      </c>
      <c r="C2054" s="2" t="str">
        <f>"90652"</f>
        <v>90652</v>
      </c>
      <c r="D2054" t="s">
        <v>2087</v>
      </c>
      <c r="E2054" t="s">
        <v>4</v>
      </c>
      <c r="F2054">
        <v>7.14</v>
      </c>
      <c r="H2054" t="s">
        <v>5</v>
      </c>
      <c r="I2054" s="1">
        <v>34.72</v>
      </c>
      <c r="J2054" s="1">
        <v>33.71</v>
      </c>
      <c r="K2054" t="s">
        <v>6</v>
      </c>
    </row>
    <row r="2055" spans="1:11">
      <c r="A2055" t="s">
        <v>2027</v>
      </c>
      <c r="B2055">
        <v>369366</v>
      </c>
      <c r="C2055" s="2" t="str">
        <f>"90670"</f>
        <v>90670</v>
      </c>
      <c r="D2055" t="s">
        <v>2088</v>
      </c>
      <c r="E2055" t="s">
        <v>4</v>
      </c>
      <c r="F2055">
        <v>2.29</v>
      </c>
      <c r="H2055" t="s">
        <v>5</v>
      </c>
      <c r="I2055" s="1">
        <v>28.04</v>
      </c>
      <c r="J2055" s="1">
        <v>27.22</v>
      </c>
      <c r="K2055" t="s">
        <v>6</v>
      </c>
    </row>
    <row r="2056" spans="1:11">
      <c r="A2056" t="s">
        <v>2027</v>
      </c>
      <c r="B2056">
        <v>369279</v>
      </c>
      <c r="C2056" s="2" t="str">
        <f>"90940"</f>
        <v>90940</v>
      </c>
      <c r="D2056" t="s">
        <v>2089</v>
      </c>
      <c r="E2056" t="s">
        <v>4</v>
      </c>
      <c r="F2056">
        <v>35.92</v>
      </c>
      <c r="H2056" t="s">
        <v>5</v>
      </c>
      <c r="I2056" s="1">
        <v>47.11</v>
      </c>
      <c r="J2056" s="1">
        <v>45.73</v>
      </c>
      <c r="K2056" t="s">
        <v>6</v>
      </c>
    </row>
    <row r="2057" spans="1:11">
      <c r="A2057" t="s">
        <v>2027</v>
      </c>
      <c r="B2057">
        <v>369274</v>
      </c>
      <c r="C2057" s="2" t="str">
        <f>"91206"</f>
        <v>91206</v>
      </c>
      <c r="D2057" t="s">
        <v>2090</v>
      </c>
      <c r="E2057" t="s">
        <v>4</v>
      </c>
      <c r="F2057">
        <v>7.83</v>
      </c>
      <c r="H2057" t="s">
        <v>5</v>
      </c>
      <c r="I2057" s="1">
        <v>32.4</v>
      </c>
      <c r="J2057" s="1">
        <v>31.45</v>
      </c>
      <c r="K2057" t="s">
        <v>6</v>
      </c>
    </row>
    <row r="2058" spans="1:11">
      <c r="A2058" t="s">
        <v>2027</v>
      </c>
      <c r="B2058">
        <v>369162</v>
      </c>
      <c r="C2058" s="2" t="str">
        <f>"91209"</f>
        <v>91209</v>
      </c>
      <c r="D2058" t="s">
        <v>2091</v>
      </c>
      <c r="E2058" t="s">
        <v>4</v>
      </c>
      <c r="F2058">
        <v>5.99</v>
      </c>
      <c r="H2058" t="s">
        <v>5</v>
      </c>
      <c r="I2058" s="1">
        <v>49.23</v>
      </c>
      <c r="J2058" s="1">
        <v>47.8</v>
      </c>
      <c r="K2058" t="s">
        <v>6</v>
      </c>
    </row>
    <row r="2059" spans="1:11">
      <c r="A2059" t="s">
        <v>2027</v>
      </c>
      <c r="B2059">
        <v>369371</v>
      </c>
      <c r="C2059" s="2" t="str">
        <f>"91218"</f>
        <v>91218</v>
      </c>
      <c r="D2059" t="s">
        <v>2092</v>
      </c>
      <c r="E2059" t="s">
        <v>4</v>
      </c>
      <c r="F2059">
        <v>37.82</v>
      </c>
      <c r="H2059" t="s">
        <v>5</v>
      </c>
      <c r="I2059" s="1">
        <v>72.58</v>
      </c>
      <c r="J2059" s="1">
        <v>70.459999999999994</v>
      </c>
      <c r="K2059" t="s">
        <v>6</v>
      </c>
    </row>
    <row r="2060" spans="1:11">
      <c r="A2060" t="s">
        <v>2027</v>
      </c>
      <c r="B2060">
        <v>370041</v>
      </c>
      <c r="C2060" s="2" t="str">
        <f>"91224"</f>
        <v>91224</v>
      </c>
      <c r="D2060" t="s">
        <v>2093</v>
      </c>
      <c r="E2060" t="s">
        <v>4</v>
      </c>
      <c r="F2060">
        <v>16.8</v>
      </c>
      <c r="H2060" t="s">
        <v>5</v>
      </c>
      <c r="I2060" s="1">
        <v>88.74</v>
      </c>
      <c r="J2060" s="1">
        <v>86.15</v>
      </c>
      <c r="K2060" t="s">
        <v>6</v>
      </c>
    </row>
    <row r="2061" spans="1:11">
      <c r="A2061" t="s">
        <v>2027</v>
      </c>
      <c r="B2061">
        <v>369153</v>
      </c>
      <c r="C2061" s="2" t="str">
        <f>"91330"</f>
        <v>91330</v>
      </c>
      <c r="D2061" t="s">
        <v>2094</v>
      </c>
      <c r="E2061" t="s">
        <v>4</v>
      </c>
      <c r="F2061">
        <v>14.55</v>
      </c>
      <c r="H2061" t="s">
        <v>5</v>
      </c>
      <c r="I2061" s="1">
        <v>42.43</v>
      </c>
      <c r="J2061" s="1">
        <v>41.2</v>
      </c>
      <c r="K2061" t="s">
        <v>6</v>
      </c>
    </row>
    <row r="2062" spans="1:11">
      <c r="A2062" t="s">
        <v>2027</v>
      </c>
      <c r="B2062">
        <v>369327</v>
      </c>
      <c r="C2062" s="2" t="str">
        <f>"91351"</f>
        <v>91351</v>
      </c>
      <c r="D2062" t="s">
        <v>2095</v>
      </c>
      <c r="E2062" t="s">
        <v>4</v>
      </c>
      <c r="F2062">
        <v>7.8</v>
      </c>
      <c r="H2062" t="s">
        <v>5</v>
      </c>
      <c r="I2062" s="1">
        <v>64.84</v>
      </c>
      <c r="J2062" s="1">
        <v>62.96</v>
      </c>
      <c r="K2062" t="s">
        <v>6</v>
      </c>
    </row>
    <row r="2063" spans="1:11">
      <c r="A2063" t="s">
        <v>2027</v>
      </c>
      <c r="B2063">
        <v>439040</v>
      </c>
      <c r="C2063" s="2" t="str">
        <f>"94308"</f>
        <v>94308</v>
      </c>
      <c r="D2063" t="s">
        <v>2096</v>
      </c>
      <c r="E2063" t="s">
        <v>4</v>
      </c>
      <c r="F2063">
        <v>23.26</v>
      </c>
      <c r="H2063" t="s">
        <v>5</v>
      </c>
      <c r="I2063" s="1">
        <v>45.03</v>
      </c>
      <c r="J2063" s="1">
        <v>43.72</v>
      </c>
      <c r="K2063" t="s">
        <v>6</v>
      </c>
    </row>
    <row r="2064" spans="1:11">
      <c r="A2064" t="s">
        <v>2027</v>
      </c>
      <c r="B2064">
        <v>400280</v>
      </c>
      <c r="C2064" s="2" t="str">
        <f>"94368"</f>
        <v>94368</v>
      </c>
      <c r="D2064" t="s">
        <v>2097</v>
      </c>
      <c r="E2064" t="s">
        <v>4</v>
      </c>
      <c r="F2064">
        <v>29</v>
      </c>
      <c r="H2064" t="s">
        <v>5</v>
      </c>
      <c r="I2064" s="1">
        <v>46.2</v>
      </c>
      <c r="J2064" s="1">
        <v>44.85</v>
      </c>
      <c r="K2064" t="s">
        <v>6</v>
      </c>
    </row>
    <row r="2065" spans="1:11">
      <c r="A2065" t="s">
        <v>2027</v>
      </c>
      <c r="B2065">
        <v>400281</v>
      </c>
      <c r="C2065" s="2" t="str">
        <f>"94369"</f>
        <v>94369</v>
      </c>
      <c r="D2065" t="s">
        <v>2098</v>
      </c>
      <c r="E2065" t="s">
        <v>4</v>
      </c>
      <c r="F2065">
        <v>36.4</v>
      </c>
      <c r="H2065" t="s">
        <v>5</v>
      </c>
      <c r="I2065" s="1">
        <v>49.89</v>
      </c>
      <c r="J2065" s="1">
        <v>48.44</v>
      </c>
      <c r="K2065" t="s">
        <v>6</v>
      </c>
    </row>
    <row r="2066" spans="1:11">
      <c r="A2066" t="s">
        <v>2027</v>
      </c>
      <c r="B2066">
        <v>396886</v>
      </c>
      <c r="C2066" s="2" t="str">
        <f>"94600"</f>
        <v>94600</v>
      </c>
      <c r="D2066" t="s">
        <v>2099</v>
      </c>
      <c r="E2066" t="s">
        <v>4</v>
      </c>
      <c r="F2066">
        <v>3.43</v>
      </c>
      <c r="H2066" t="s">
        <v>5</v>
      </c>
      <c r="I2066" s="1">
        <v>20.8</v>
      </c>
      <c r="J2066" s="1">
        <v>20.190000000000001</v>
      </c>
      <c r="K2066" t="s">
        <v>6</v>
      </c>
    </row>
    <row r="2067" spans="1:11">
      <c r="A2067" t="s">
        <v>2027</v>
      </c>
      <c r="B2067">
        <v>396887</v>
      </c>
      <c r="C2067" s="2" t="str">
        <f>"94601"</f>
        <v>94601</v>
      </c>
      <c r="D2067" t="s">
        <v>2100</v>
      </c>
      <c r="E2067" t="s">
        <v>4</v>
      </c>
      <c r="F2067">
        <v>5.85</v>
      </c>
      <c r="H2067" t="s">
        <v>5</v>
      </c>
      <c r="I2067" s="1">
        <v>33.799999999999997</v>
      </c>
      <c r="J2067" s="1">
        <v>32.81</v>
      </c>
      <c r="K2067" t="s">
        <v>6</v>
      </c>
    </row>
    <row r="2068" spans="1:11">
      <c r="A2068" t="s">
        <v>2027</v>
      </c>
      <c r="B2068">
        <v>396879</v>
      </c>
      <c r="C2068" s="2" t="str">
        <f>"94602"</f>
        <v>94602</v>
      </c>
      <c r="D2068" t="s">
        <v>2101</v>
      </c>
      <c r="E2068" t="s">
        <v>4</v>
      </c>
      <c r="F2068">
        <v>5.64</v>
      </c>
      <c r="H2068" t="s">
        <v>5</v>
      </c>
      <c r="I2068" s="1">
        <v>27.6</v>
      </c>
      <c r="J2068" s="1">
        <v>26.79</v>
      </c>
      <c r="K2068" t="s">
        <v>6</v>
      </c>
    </row>
    <row r="2069" spans="1:11">
      <c r="A2069" t="s">
        <v>2027</v>
      </c>
      <c r="B2069">
        <v>398500</v>
      </c>
      <c r="C2069" s="2" t="str">
        <f>"94603"</f>
        <v>94603</v>
      </c>
      <c r="D2069" t="s">
        <v>2102</v>
      </c>
      <c r="E2069" t="s">
        <v>4</v>
      </c>
      <c r="F2069">
        <v>4.05</v>
      </c>
      <c r="H2069" t="s">
        <v>5</v>
      </c>
      <c r="I2069" s="1">
        <v>28.2</v>
      </c>
      <c r="J2069" s="1">
        <v>27.38</v>
      </c>
      <c r="K2069" t="s">
        <v>6</v>
      </c>
    </row>
    <row r="2070" spans="1:11">
      <c r="A2070" t="s">
        <v>2027</v>
      </c>
      <c r="B2070">
        <v>396889</v>
      </c>
      <c r="C2070" s="2" t="str">
        <f>"94604"</f>
        <v>94604</v>
      </c>
      <c r="D2070" t="s">
        <v>2103</v>
      </c>
      <c r="E2070" t="s">
        <v>4</v>
      </c>
      <c r="F2070">
        <v>7.84</v>
      </c>
      <c r="H2070" t="s">
        <v>5</v>
      </c>
      <c r="I2070" s="1">
        <v>33.68</v>
      </c>
      <c r="J2070" s="1">
        <v>32.71</v>
      </c>
      <c r="K2070" t="s">
        <v>6</v>
      </c>
    </row>
    <row r="2071" spans="1:11">
      <c r="A2071" t="s">
        <v>2027</v>
      </c>
      <c r="B2071">
        <v>401883</v>
      </c>
      <c r="C2071" s="2" t="str">
        <f>"94605"</f>
        <v>94605</v>
      </c>
      <c r="D2071" t="s">
        <v>2104</v>
      </c>
      <c r="E2071" t="s">
        <v>4</v>
      </c>
      <c r="F2071">
        <v>4.95</v>
      </c>
      <c r="H2071" t="s">
        <v>5</v>
      </c>
      <c r="I2071" s="1">
        <v>42.24</v>
      </c>
      <c r="J2071" s="1">
        <v>41</v>
      </c>
      <c r="K2071" t="s">
        <v>6</v>
      </c>
    </row>
    <row r="2072" spans="1:11">
      <c r="A2072" t="s">
        <v>2027</v>
      </c>
      <c r="B2072">
        <v>369410</v>
      </c>
      <c r="C2072" s="2" t="str">
        <f>"94780"</f>
        <v>94780</v>
      </c>
      <c r="D2072" t="s">
        <v>2105</v>
      </c>
      <c r="E2072" t="s">
        <v>4</v>
      </c>
      <c r="F2072">
        <v>12.36</v>
      </c>
      <c r="H2072" t="s">
        <v>5</v>
      </c>
      <c r="I2072" s="1">
        <v>47.05</v>
      </c>
      <c r="J2072" s="1">
        <v>45.68</v>
      </c>
      <c r="K2072" t="s">
        <v>6</v>
      </c>
    </row>
    <row r="2073" spans="1:11">
      <c r="A2073" t="s">
        <v>2027</v>
      </c>
      <c r="B2073">
        <v>396881</v>
      </c>
      <c r="C2073" s="2" t="str">
        <f>"94782"</f>
        <v>94782</v>
      </c>
      <c r="D2073" t="s">
        <v>2106</v>
      </c>
      <c r="E2073" t="s">
        <v>4</v>
      </c>
      <c r="F2073">
        <v>12.36</v>
      </c>
      <c r="H2073" t="s">
        <v>5</v>
      </c>
      <c r="I2073" s="1">
        <v>47.05</v>
      </c>
      <c r="J2073" s="1">
        <v>45.68</v>
      </c>
      <c r="K2073" t="s">
        <v>6</v>
      </c>
    </row>
    <row r="2074" spans="1:11">
      <c r="A2074" t="s">
        <v>2027</v>
      </c>
      <c r="B2074">
        <v>382742</v>
      </c>
      <c r="C2074" s="2" t="str">
        <f>"94892"</f>
        <v>94892</v>
      </c>
      <c r="D2074" t="s">
        <v>2107</v>
      </c>
      <c r="E2074" t="s">
        <v>4</v>
      </c>
      <c r="F2074">
        <v>9.52</v>
      </c>
      <c r="H2074" t="s">
        <v>5</v>
      </c>
      <c r="I2074" s="1">
        <v>54.55</v>
      </c>
      <c r="J2074" s="1">
        <v>52.96</v>
      </c>
      <c r="K2074" t="s">
        <v>6</v>
      </c>
    </row>
    <row r="2075" spans="1:11">
      <c r="A2075" t="s">
        <v>2027</v>
      </c>
      <c r="B2075">
        <v>396885</v>
      </c>
      <c r="C2075" s="2" t="str">
        <f>"95365"</f>
        <v>95365</v>
      </c>
      <c r="D2075" t="s">
        <v>2108</v>
      </c>
      <c r="E2075" t="s">
        <v>4</v>
      </c>
      <c r="F2075">
        <v>2.0499999999999998</v>
      </c>
      <c r="H2075" t="s">
        <v>5</v>
      </c>
      <c r="I2075" s="1">
        <v>53.66</v>
      </c>
      <c r="J2075" s="1">
        <v>53.66</v>
      </c>
      <c r="K2075" t="s">
        <v>6</v>
      </c>
    </row>
    <row r="2076" spans="1:11">
      <c r="A2076" t="s">
        <v>2027</v>
      </c>
      <c r="B2076">
        <v>489723</v>
      </c>
      <c r="C2076" s="2" t="str">
        <f>"CB001169"</f>
        <v>CB001169</v>
      </c>
      <c r="D2076" t="s">
        <v>2109</v>
      </c>
      <c r="E2076" t="s">
        <v>4</v>
      </c>
      <c r="F2076">
        <v>31.69</v>
      </c>
      <c r="H2076" t="s">
        <v>5</v>
      </c>
      <c r="I2076" s="1">
        <v>74.069999999999993</v>
      </c>
      <c r="J2076" s="1">
        <v>71.92</v>
      </c>
      <c r="K2076" t="s">
        <v>6</v>
      </c>
    </row>
    <row r="2077" spans="1:11">
      <c r="A2077" t="s">
        <v>2027</v>
      </c>
      <c r="B2077">
        <v>409988</v>
      </c>
      <c r="C2077" s="2" t="str">
        <f>"CB001237"</f>
        <v>CB001237</v>
      </c>
      <c r="D2077" t="s">
        <v>2110</v>
      </c>
      <c r="E2077" t="s">
        <v>4</v>
      </c>
      <c r="F2077">
        <v>11.2</v>
      </c>
      <c r="H2077" t="s">
        <v>5</v>
      </c>
      <c r="I2077" s="1">
        <v>32.64</v>
      </c>
      <c r="J2077" s="1">
        <v>31.34</v>
      </c>
      <c r="K2077" t="s">
        <v>6</v>
      </c>
    </row>
    <row r="2078" spans="1:11">
      <c r="A2078" t="s">
        <v>2027</v>
      </c>
      <c r="B2078">
        <v>432881</v>
      </c>
      <c r="C2078" s="2" t="str">
        <f>"CB003813"</f>
        <v>CB003813</v>
      </c>
      <c r="D2078" t="s">
        <v>2111</v>
      </c>
      <c r="E2078" t="s">
        <v>4</v>
      </c>
      <c r="F2078">
        <v>6.48</v>
      </c>
      <c r="H2078" t="s">
        <v>5</v>
      </c>
      <c r="I2078" s="1">
        <v>48.09</v>
      </c>
      <c r="J2078" s="1">
        <v>46.68</v>
      </c>
      <c r="K2078" t="s">
        <v>6</v>
      </c>
    </row>
    <row r="2079" spans="1:11">
      <c r="A2079" t="s">
        <v>2027</v>
      </c>
      <c r="B2079">
        <v>459163</v>
      </c>
      <c r="C2079" s="2" t="str">
        <f>"CB003905"</f>
        <v>CB003905</v>
      </c>
      <c r="D2079" t="s">
        <v>2112</v>
      </c>
      <c r="E2079" t="s">
        <v>4</v>
      </c>
      <c r="F2079">
        <v>5.5</v>
      </c>
      <c r="H2079" t="s">
        <v>5</v>
      </c>
      <c r="I2079" s="1">
        <v>29.37</v>
      </c>
      <c r="J2079" s="1">
        <v>28.51</v>
      </c>
      <c r="K2079" t="s">
        <v>6</v>
      </c>
    </row>
    <row r="2080" spans="1:11">
      <c r="A2080" t="s">
        <v>2027</v>
      </c>
      <c r="B2080">
        <v>459159</v>
      </c>
      <c r="C2080" s="2" t="str">
        <f>"CB003971"</f>
        <v>CB003971</v>
      </c>
      <c r="D2080" t="s">
        <v>2113</v>
      </c>
      <c r="E2080" t="s">
        <v>4</v>
      </c>
      <c r="F2080">
        <v>12.6</v>
      </c>
      <c r="H2080" t="s">
        <v>5</v>
      </c>
      <c r="I2080" s="1">
        <v>60.68</v>
      </c>
      <c r="J2080" s="1">
        <v>58.92</v>
      </c>
      <c r="K2080" t="s">
        <v>6</v>
      </c>
    </row>
    <row r="2081" spans="1:11">
      <c r="A2081" t="s">
        <v>2027</v>
      </c>
      <c r="B2081">
        <v>474994</v>
      </c>
      <c r="C2081" s="2" t="str">
        <f>"CB011443"</f>
        <v>CB011443</v>
      </c>
      <c r="D2081" t="s">
        <v>2114</v>
      </c>
      <c r="E2081" t="s">
        <v>4</v>
      </c>
      <c r="F2081">
        <v>8.0500000000000007</v>
      </c>
      <c r="H2081" t="s">
        <v>5</v>
      </c>
      <c r="I2081" s="1">
        <v>42.3</v>
      </c>
      <c r="J2081" s="1">
        <v>41.07</v>
      </c>
      <c r="K2081" t="s">
        <v>6</v>
      </c>
    </row>
    <row r="2082" spans="1:11">
      <c r="A2082" t="s">
        <v>2027</v>
      </c>
      <c r="B2082">
        <v>400209</v>
      </c>
      <c r="C2082" s="2" t="str">
        <f>"CB016605"</f>
        <v>CB016605</v>
      </c>
      <c r="D2082" t="s">
        <v>2115</v>
      </c>
      <c r="E2082" t="s">
        <v>4</v>
      </c>
      <c r="F2082">
        <v>15.1</v>
      </c>
      <c r="H2082" t="s">
        <v>5</v>
      </c>
      <c r="I2082" s="1">
        <v>60.87</v>
      </c>
      <c r="J2082" s="1">
        <v>59.1</v>
      </c>
      <c r="K2082" t="s">
        <v>6</v>
      </c>
    </row>
    <row r="2083" spans="1:11">
      <c r="A2083" t="s">
        <v>2027</v>
      </c>
      <c r="B2083">
        <v>459228</v>
      </c>
      <c r="C2083" s="2" t="str">
        <f>"CB018104"</f>
        <v>CB018104</v>
      </c>
      <c r="D2083" t="s">
        <v>2116</v>
      </c>
      <c r="E2083" t="s">
        <v>4</v>
      </c>
      <c r="F2083">
        <v>6.76</v>
      </c>
      <c r="H2083" t="s">
        <v>5</v>
      </c>
      <c r="I2083" s="1">
        <v>65.73</v>
      </c>
      <c r="J2083" s="1">
        <v>63.82</v>
      </c>
      <c r="K2083" t="s">
        <v>6</v>
      </c>
    </row>
    <row r="2084" spans="1:11">
      <c r="A2084" t="s">
        <v>2027</v>
      </c>
      <c r="B2084">
        <v>396877</v>
      </c>
      <c r="C2084" s="2" t="str">
        <f>"CB018425"</f>
        <v>CB018425</v>
      </c>
      <c r="D2084" t="s">
        <v>2117</v>
      </c>
      <c r="E2084" t="s">
        <v>4</v>
      </c>
      <c r="F2084">
        <v>6.9</v>
      </c>
      <c r="H2084" t="s">
        <v>5</v>
      </c>
      <c r="I2084" s="1">
        <v>71.62</v>
      </c>
      <c r="J2084" s="1">
        <v>69.540000000000006</v>
      </c>
      <c r="K2084" t="s">
        <v>6</v>
      </c>
    </row>
    <row r="2085" spans="1:11">
      <c r="A2085" t="s">
        <v>2027</v>
      </c>
      <c r="B2085">
        <v>401886</v>
      </c>
      <c r="C2085" s="2" t="str">
        <f>"CB022514"</f>
        <v>CB022514</v>
      </c>
      <c r="D2085" t="s">
        <v>2118</v>
      </c>
      <c r="E2085" t="s">
        <v>4</v>
      </c>
      <c r="F2085">
        <v>20.5</v>
      </c>
      <c r="H2085" t="s">
        <v>5</v>
      </c>
      <c r="I2085" s="1">
        <v>47</v>
      </c>
      <c r="J2085" s="1">
        <v>45.63</v>
      </c>
      <c r="K2085" t="s">
        <v>6</v>
      </c>
    </row>
    <row r="2086" spans="1:11">
      <c r="A2086" t="s">
        <v>2027</v>
      </c>
      <c r="B2086">
        <v>570308</v>
      </c>
      <c r="C2086" s="2" t="str">
        <f>"CB161130"</f>
        <v>CB161130</v>
      </c>
      <c r="D2086" t="s">
        <v>2119</v>
      </c>
      <c r="E2086" t="s">
        <v>4</v>
      </c>
      <c r="F2086">
        <v>30.2</v>
      </c>
      <c r="H2086" t="s">
        <v>5</v>
      </c>
      <c r="I2086" s="1">
        <v>50.82</v>
      </c>
      <c r="J2086" s="1">
        <v>49.34</v>
      </c>
      <c r="K2086" t="s">
        <v>6</v>
      </c>
    </row>
    <row r="2087" spans="1:11">
      <c r="A2087" t="s">
        <v>2027</v>
      </c>
      <c r="B2087">
        <v>570299</v>
      </c>
      <c r="C2087" s="2" t="str">
        <f>"CB451088"</f>
        <v>CB451088</v>
      </c>
      <c r="D2087" t="s">
        <v>2120</v>
      </c>
      <c r="E2087" t="s">
        <v>4</v>
      </c>
      <c r="F2087">
        <v>3.5</v>
      </c>
      <c r="H2087" t="s">
        <v>5</v>
      </c>
      <c r="I2087" s="1">
        <v>35.85</v>
      </c>
      <c r="J2087" s="1">
        <v>34.81</v>
      </c>
      <c r="K2087" t="s">
        <v>6</v>
      </c>
    </row>
    <row r="2088" spans="1:11">
      <c r="A2088" t="s">
        <v>2027</v>
      </c>
      <c r="B2088">
        <v>570300</v>
      </c>
      <c r="C2088" s="2" t="str">
        <f>"CB451156"</f>
        <v>CB451156</v>
      </c>
      <c r="D2088" t="s">
        <v>2121</v>
      </c>
      <c r="E2088" t="s">
        <v>4</v>
      </c>
      <c r="F2088">
        <v>4.41</v>
      </c>
      <c r="H2088" t="s">
        <v>5</v>
      </c>
      <c r="I2088" s="1">
        <v>45.02</v>
      </c>
      <c r="J2088" s="1">
        <v>43.71</v>
      </c>
      <c r="K2088" t="s">
        <v>6</v>
      </c>
    </row>
    <row r="2089" spans="1:11">
      <c r="A2089" t="s">
        <v>2027</v>
      </c>
      <c r="B2089">
        <v>570295</v>
      </c>
      <c r="C2089" s="2" t="str">
        <f>"CB451859"</f>
        <v>CB451859</v>
      </c>
      <c r="D2089" t="s">
        <v>2122</v>
      </c>
      <c r="E2089" t="s">
        <v>4</v>
      </c>
      <c r="F2089">
        <v>23</v>
      </c>
      <c r="H2089" t="s">
        <v>5</v>
      </c>
      <c r="I2089" s="1">
        <v>45.05</v>
      </c>
      <c r="J2089" s="1">
        <v>43.73</v>
      </c>
      <c r="K2089" t="s">
        <v>6</v>
      </c>
    </row>
    <row r="2090" spans="1:11">
      <c r="A2090" t="s">
        <v>2027</v>
      </c>
      <c r="B2090">
        <v>570291</v>
      </c>
      <c r="C2090" s="2" t="str">
        <f>"CB456755"</f>
        <v>CB456755</v>
      </c>
      <c r="D2090" t="s">
        <v>2123</v>
      </c>
      <c r="E2090" t="s">
        <v>4</v>
      </c>
      <c r="F2090">
        <v>23.04</v>
      </c>
      <c r="H2090" t="s">
        <v>5</v>
      </c>
      <c r="I2090" s="1">
        <v>46.9</v>
      </c>
      <c r="J2090" s="1">
        <v>45.54</v>
      </c>
      <c r="K2090" t="s">
        <v>6</v>
      </c>
    </row>
    <row r="2091" spans="1:11">
      <c r="A2091" t="s">
        <v>2027</v>
      </c>
      <c r="B2091">
        <v>570292</v>
      </c>
      <c r="C2091" s="2" t="str">
        <f>"CB456762"</f>
        <v>CB456762</v>
      </c>
      <c r="D2091" t="s">
        <v>2124</v>
      </c>
      <c r="E2091" t="s">
        <v>4</v>
      </c>
      <c r="F2091">
        <v>22.73</v>
      </c>
      <c r="H2091" t="s">
        <v>5</v>
      </c>
      <c r="I2091" s="1">
        <v>40.08</v>
      </c>
      <c r="J2091" s="1">
        <v>38.909999999999997</v>
      </c>
      <c r="K2091" t="s">
        <v>6</v>
      </c>
    </row>
    <row r="2092" spans="1:11">
      <c r="A2092" t="s">
        <v>2027</v>
      </c>
      <c r="B2092">
        <v>570293</v>
      </c>
      <c r="C2092" s="2" t="str">
        <f>"CB456816"</f>
        <v>CB456816</v>
      </c>
      <c r="D2092" t="s">
        <v>2125</v>
      </c>
      <c r="E2092" t="s">
        <v>4</v>
      </c>
      <c r="F2092">
        <v>23.02</v>
      </c>
      <c r="H2092" t="s">
        <v>6</v>
      </c>
      <c r="I2092" t="s">
        <v>1373</v>
      </c>
      <c r="J2092" t="s">
        <v>1374</v>
      </c>
      <c r="K2092" t="s">
        <v>6</v>
      </c>
    </row>
    <row r="2093" spans="1:11">
      <c r="A2093" t="s">
        <v>2027</v>
      </c>
      <c r="B2093">
        <v>570294</v>
      </c>
      <c r="C2093" s="2" t="str">
        <f>"CB456892"</f>
        <v>CB456892</v>
      </c>
      <c r="D2093" t="s">
        <v>2126</v>
      </c>
      <c r="E2093" t="s">
        <v>4</v>
      </c>
      <c r="F2093">
        <v>31.02</v>
      </c>
      <c r="H2093" t="s">
        <v>5</v>
      </c>
      <c r="I2093" s="1">
        <v>40.08</v>
      </c>
      <c r="J2093" s="1">
        <v>38.909999999999997</v>
      </c>
      <c r="K2093" t="s">
        <v>6</v>
      </c>
    </row>
    <row r="2094" spans="1:11">
      <c r="A2094" t="s">
        <v>2027</v>
      </c>
      <c r="B2094">
        <v>462881</v>
      </c>
      <c r="C2094" s="2" t="str">
        <f>"CB618519"</f>
        <v>CB618519</v>
      </c>
      <c r="D2094" t="s">
        <v>2127</v>
      </c>
      <c r="E2094" t="s">
        <v>4</v>
      </c>
      <c r="F2094">
        <v>6.8</v>
      </c>
      <c r="H2094" t="s">
        <v>5</v>
      </c>
      <c r="I2094" s="1">
        <v>68.17</v>
      </c>
      <c r="J2094" s="1">
        <v>66.180000000000007</v>
      </c>
      <c r="K2094" t="s">
        <v>6</v>
      </c>
    </row>
    <row r="2095" spans="1:11">
      <c r="A2095" t="s">
        <v>2027</v>
      </c>
      <c r="B2095">
        <v>492647</v>
      </c>
      <c r="C2095" s="2" t="str">
        <f>"CB701380"</f>
        <v>CB701380</v>
      </c>
      <c r="D2095" t="s">
        <v>2128</v>
      </c>
      <c r="E2095" t="s">
        <v>4</v>
      </c>
      <c r="F2095">
        <v>19.5</v>
      </c>
      <c r="H2095" t="s">
        <v>5</v>
      </c>
      <c r="I2095" s="1">
        <v>40.04</v>
      </c>
      <c r="J2095" s="1">
        <v>38.869999999999997</v>
      </c>
      <c r="K2095" t="s">
        <v>6</v>
      </c>
    </row>
    <row r="2096" spans="1:11">
      <c r="A2096" t="s">
        <v>2027</v>
      </c>
      <c r="B2096">
        <v>570309</v>
      </c>
      <c r="C2096" s="2" t="str">
        <f>"CB710925"</f>
        <v>CB710925</v>
      </c>
      <c r="D2096" t="s">
        <v>2129</v>
      </c>
      <c r="E2096" t="s">
        <v>4</v>
      </c>
      <c r="F2096">
        <v>40.130000000000003</v>
      </c>
      <c r="H2096" t="s">
        <v>5</v>
      </c>
      <c r="I2096" s="1">
        <v>50.87</v>
      </c>
      <c r="J2096" s="1">
        <v>49.39</v>
      </c>
      <c r="K2096" t="s">
        <v>6</v>
      </c>
    </row>
    <row r="2097" spans="1:11">
      <c r="A2097" t="s">
        <v>2027</v>
      </c>
      <c r="B2097">
        <v>570310</v>
      </c>
      <c r="C2097" s="2" t="str">
        <f>"CB711021"</f>
        <v>CB711021</v>
      </c>
      <c r="D2097" t="s">
        <v>2130</v>
      </c>
      <c r="E2097" t="s">
        <v>4</v>
      </c>
      <c r="F2097">
        <v>5.7</v>
      </c>
      <c r="H2097" t="s">
        <v>5</v>
      </c>
      <c r="I2097" s="1">
        <v>30.49</v>
      </c>
      <c r="J2097" s="1">
        <v>29.6</v>
      </c>
      <c r="K2097" t="s">
        <v>6</v>
      </c>
    </row>
    <row r="2098" spans="1:11">
      <c r="A2098" t="s">
        <v>2027</v>
      </c>
      <c r="B2098">
        <v>570275</v>
      </c>
      <c r="C2098" s="2" t="str">
        <f>"CB716295"</f>
        <v>CB716295</v>
      </c>
      <c r="D2098" t="s">
        <v>2131</v>
      </c>
      <c r="E2098" t="s">
        <v>4</v>
      </c>
      <c r="F2098">
        <v>19</v>
      </c>
      <c r="H2098" t="s">
        <v>5</v>
      </c>
      <c r="I2098" s="1">
        <v>28.11</v>
      </c>
      <c r="J2098" s="1">
        <v>27.51</v>
      </c>
      <c r="K2098" t="s">
        <v>6</v>
      </c>
    </row>
    <row r="2099" spans="1:11">
      <c r="A2099" t="s">
        <v>2132</v>
      </c>
      <c r="B2099">
        <v>527383</v>
      </c>
      <c r="C2099" s="2" t="str">
        <f>"10KD271015"</f>
        <v>10KD271015</v>
      </c>
      <c r="D2099" t="s">
        <v>2133</v>
      </c>
      <c r="E2099" t="s">
        <v>4</v>
      </c>
      <c r="F2099">
        <v>22</v>
      </c>
      <c r="H2099" t="s">
        <v>5</v>
      </c>
      <c r="I2099" s="1">
        <v>121.66</v>
      </c>
      <c r="J2099" s="1">
        <v>120.47</v>
      </c>
      <c r="K2099" t="s">
        <v>6</v>
      </c>
    </row>
    <row r="2100" spans="1:11">
      <c r="A2100" t="s">
        <v>2132</v>
      </c>
      <c r="B2100">
        <v>549568</v>
      </c>
      <c r="C2100" s="2" t="str">
        <f>"10PLN"</f>
        <v>10PLN</v>
      </c>
      <c r="D2100" t="s">
        <v>2134</v>
      </c>
      <c r="E2100" t="s">
        <v>4</v>
      </c>
      <c r="F2100">
        <v>42</v>
      </c>
      <c r="H2100" t="s">
        <v>5</v>
      </c>
      <c r="I2100" s="1">
        <v>82.68</v>
      </c>
      <c r="J2100" s="1">
        <v>81.87</v>
      </c>
      <c r="K2100" t="s">
        <v>6</v>
      </c>
    </row>
    <row r="2101" spans="1:11">
      <c r="A2101" t="s">
        <v>2132</v>
      </c>
      <c r="B2101">
        <v>524412</v>
      </c>
      <c r="C2101" s="2" t="str">
        <f>"15CX"</f>
        <v>15CX</v>
      </c>
      <c r="D2101" t="s">
        <v>2135</v>
      </c>
      <c r="E2101" t="s">
        <v>4</v>
      </c>
      <c r="F2101">
        <v>11.9</v>
      </c>
      <c r="H2101" t="s">
        <v>5</v>
      </c>
      <c r="I2101" s="1">
        <v>53.97</v>
      </c>
      <c r="J2101" s="1">
        <v>53.44</v>
      </c>
      <c r="K2101" t="s">
        <v>6</v>
      </c>
    </row>
    <row r="2102" spans="1:11">
      <c r="A2102" t="s">
        <v>2132</v>
      </c>
      <c r="B2102">
        <v>546708</v>
      </c>
      <c r="C2102" s="2" t="str">
        <f>"16PPATH"</f>
        <v>16PPATH</v>
      </c>
      <c r="D2102" t="s">
        <v>2136</v>
      </c>
      <c r="E2102" t="s">
        <v>4</v>
      </c>
      <c r="F2102">
        <v>27.8</v>
      </c>
      <c r="H2102" t="s">
        <v>5</v>
      </c>
      <c r="I2102" s="1">
        <v>74.52</v>
      </c>
      <c r="J2102" s="1">
        <v>73.790000000000006</v>
      </c>
      <c r="K2102" t="s">
        <v>6</v>
      </c>
    </row>
    <row r="2103" spans="1:11">
      <c r="A2103" t="s">
        <v>2132</v>
      </c>
      <c r="B2103">
        <v>540664</v>
      </c>
      <c r="C2103" s="2" t="str">
        <f>"21COT"</f>
        <v>21COT</v>
      </c>
      <c r="D2103" t="s">
        <v>2137</v>
      </c>
      <c r="E2103" t="s">
        <v>4</v>
      </c>
      <c r="F2103">
        <v>53</v>
      </c>
      <c r="H2103" t="s">
        <v>5</v>
      </c>
      <c r="I2103" s="1">
        <v>37</v>
      </c>
      <c r="J2103" s="1">
        <v>36.630000000000003</v>
      </c>
      <c r="K2103" t="s">
        <v>6</v>
      </c>
    </row>
    <row r="2104" spans="1:11">
      <c r="A2104" t="s">
        <v>2132</v>
      </c>
      <c r="B2104">
        <v>546731</v>
      </c>
      <c r="C2104" s="2" t="str">
        <f>"2338PATH"</f>
        <v>2338PATH</v>
      </c>
      <c r="D2104" t="s">
        <v>2138</v>
      </c>
      <c r="E2104" t="s">
        <v>4</v>
      </c>
      <c r="F2104">
        <v>18.88</v>
      </c>
      <c r="H2104" t="s">
        <v>5</v>
      </c>
      <c r="I2104" s="1">
        <v>53.9</v>
      </c>
      <c r="J2104" s="1">
        <v>53.37</v>
      </c>
      <c r="K2104" t="s">
        <v>6</v>
      </c>
    </row>
    <row r="2105" spans="1:11">
      <c r="A2105" t="s">
        <v>2132</v>
      </c>
      <c r="B2105">
        <v>522956</v>
      </c>
      <c r="C2105" s="2" t="str">
        <f>"2338W"</f>
        <v>2338W</v>
      </c>
      <c r="D2105" t="s">
        <v>2139</v>
      </c>
      <c r="E2105" t="s">
        <v>4</v>
      </c>
      <c r="F2105">
        <v>18.88</v>
      </c>
      <c r="H2105" t="s">
        <v>5</v>
      </c>
      <c r="I2105" s="1">
        <v>53.9</v>
      </c>
      <c r="J2105" s="1">
        <v>53.37</v>
      </c>
      <c r="K2105" t="s">
        <v>6</v>
      </c>
    </row>
    <row r="2106" spans="1:11">
      <c r="A2106" t="s">
        <v>2132</v>
      </c>
      <c r="B2106">
        <v>571431</v>
      </c>
      <c r="C2106" s="2" t="str">
        <f>"2340PLA"</f>
        <v>2340PLA</v>
      </c>
      <c r="D2106" t="s">
        <v>2140</v>
      </c>
      <c r="E2106" t="s">
        <v>4</v>
      </c>
      <c r="F2106">
        <v>21.89</v>
      </c>
      <c r="H2106" t="s">
        <v>5</v>
      </c>
      <c r="I2106" s="1">
        <v>110.32</v>
      </c>
      <c r="J2106" s="1">
        <v>109.24</v>
      </c>
      <c r="K2106" t="s">
        <v>6</v>
      </c>
    </row>
    <row r="2107" spans="1:11">
      <c r="A2107" t="s">
        <v>2132</v>
      </c>
      <c r="B2107">
        <v>522963</v>
      </c>
      <c r="C2107" s="2" t="str">
        <f>"2340W"</f>
        <v>2340W</v>
      </c>
      <c r="D2107" t="s">
        <v>2141</v>
      </c>
      <c r="E2107" t="s">
        <v>4</v>
      </c>
      <c r="F2107">
        <v>22.46</v>
      </c>
      <c r="H2107" t="s">
        <v>5</v>
      </c>
      <c r="I2107" s="1">
        <v>63.78</v>
      </c>
      <c r="J2107" s="1">
        <v>63.16</v>
      </c>
      <c r="K2107" t="s">
        <v>6</v>
      </c>
    </row>
    <row r="2108" spans="1:11">
      <c r="A2108" t="s">
        <v>2132</v>
      </c>
      <c r="B2108">
        <v>525296</v>
      </c>
      <c r="C2108" s="2" t="str">
        <f>"2342DJ"</f>
        <v>2342DJ</v>
      </c>
      <c r="D2108" t="s">
        <v>2142</v>
      </c>
      <c r="E2108" t="s">
        <v>4</v>
      </c>
      <c r="F2108">
        <v>25.76</v>
      </c>
      <c r="H2108" t="s">
        <v>5</v>
      </c>
      <c r="I2108" s="1">
        <v>74.19</v>
      </c>
      <c r="J2108" s="1">
        <v>73.459999999999994</v>
      </c>
      <c r="K2108" t="s">
        <v>6</v>
      </c>
    </row>
    <row r="2109" spans="1:11">
      <c r="A2109" t="s">
        <v>2132</v>
      </c>
      <c r="B2109">
        <v>546735</v>
      </c>
      <c r="C2109" s="2" t="str">
        <f>"2342PATH"</f>
        <v>2342PATH</v>
      </c>
      <c r="D2109" t="s">
        <v>2143</v>
      </c>
      <c r="E2109" t="s">
        <v>4</v>
      </c>
      <c r="F2109">
        <v>25.76</v>
      </c>
      <c r="H2109" t="s">
        <v>5</v>
      </c>
      <c r="I2109" s="1">
        <v>74.19</v>
      </c>
      <c r="J2109" s="1">
        <v>73.459999999999994</v>
      </c>
      <c r="K2109" t="s">
        <v>6</v>
      </c>
    </row>
    <row r="2110" spans="1:11">
      <c r="A2110" t="s">
        <v>2132</v>
      </c>
      <c r="B2110">
        <v>522957</v>
      </c>
      <c r="C2110" s="2" t="str">
        <f>"2342W"</f>
        <v>2342W</v>
      </c>
      <c r="D2110" t="s">
        <v>2144</v>
      </c>
      <c r="E2110" t="s">
        <v>4</v>
      </c>
      <c r="F2110">
        <v>25.86</v>
      </c>
      <c r="H2110" t="s">
        <v>5</v>
      </c>
      <c r="I2110" s="1">
        <v>74.19</v>
      </c>
      <c r="J2110" s="1">
        <v>73.459999999999994</v>
      </c>
      <c r="K2110" t="s">
        <v>6</v>
      </c>
    </row>
    <row r="2111" spans="1:11">
      <c r="A2111" t="s">
        <v>2132</v>
      </c>
      <c r="B2111">
        <v>525297</v>
      </c>
      <c r="C2111" s="2" t="str">
        <f>"2346DJ"</f>
        <v>2346DJ</v>
      </c>
      <c r="D2111" t="s">
        <v>2145</v>
      </c>
      <c r="E2111" t="s">
        <v>4</v>
      </c>
      <c r="F2111">
        <v>27.71</v>
      </c>
      <c r="H2111" t="s">
        <v>5</v>
      </c>
      <c r="I2111" s="1">
        <v>83.01</v>
      </c>
      <c r="J2111" s="1">
        <v>82.19</v>
      </c>
      <c r="K2111" t="s">
        <v>6</v>
      </c>
    </row>
    <row r="2112" spans="1:11">
      <c r="A2112" t="s">
        <v>2132</v>
      </c>
      <c r="B2112">
        <v>522964</v>
      </c>
      <c r="C2112" s="2" t="str">
        <f>"2346W"</f>
        <v>2346W</v>
      </c>
      <c r="D2112" t="s">
        <v>2146</v>
      </c>
      <c r="E2112" t="s">
        <v>4</v>
      </c>
      <c r="F2112">
        <v>27.71</v>
      </c>
      <c r="H2112" t="s">
        <v>5</v>
      </c>
      <c r="I2112" s="1">
        <v>83.01</v>
      </c>
      <c r="J2112" s="1">
        <v>82.19</v>
      </c>
      <c r="K2112" t="s">
        <v>6</v>
      </c>
    </row>
    <row r="2113" spans="1:11">
      <c r="A2113" t="s">
        <v>2132</v>
      </c>
      <c r="B2113">
        <v>525298</v>
      </c>
      <c r="C2113" s="2" t="str">
        <f>"2350DJ"</f>
        <v>2350DJ</v>
      </c>
      <c r="D2113" t="s">
        <v>2147</v>
      </c>
      <c r="E2113" t="s">
        <v>4</v>
      </c>
      <c r="F2113">
        <v>20.52</v>
      </c>
      <c r="H2113" t="s">
        <v>5</v>
      </c>
      <c r="I2113" s="1">
        <v>68.36</v>
      </c>
      <c r="J2113" s="1">
        <v>67.69</v>
      </c>
      <c r="K2113" t="s">
        <v>6</v>
      </c>
    </row>
    <row r="2114" spans="1:11">
      <c r="A2114" t="s">
        <v>2132</v>
      </c>
      <c r="B2114">
        <v>522978</v>
      </c>
      <c r="C2114" s="2" t="str">
        <f>"2350WNP"</f>
        <v>2350WNP</v>
      </c>
      <c r="D2114" t="s">
        <v>2148</v>
      </c>
      <c r="E2114" t="s">
        <v>4</v>
      </c>
      <c r="F2114">
        <v>20.52</v>
      </c>
      <c r="H2114" t="s">
        <v>5</v>
      </c>
      <c r="I2114" s="1">
        <v>68.36</v>
      </c>
      <c r="J2114" s="1">
        <v>67.69</v>
      </c>
      <c r="K2114" t="s">
        <v>6</v>
      </c>
    </row>
    <row r="2115" spans="1:11">
      <c r="A2115" t="s">
        <v>2132</v>
      </c>
      <c r="B2115">
        <v>522927</v>
      </c>
      <c r="C2115" s="2" t="str">
        <f>"2DCKDR"</f>
        <v>2DCKDR</v>
      </c>
      <c r="D2115" t="s">
        <v>2149</v>
      </c>
      <c r="E2115" t="s">
        <v>4</v>
      </c>
      <c r="F2115">
        <v>31.5</v>
      </c>
      <c r="H2115" t="s">
        <v>5</v>
      </c>
      <c r="I2115" s="1">
        <v>110.26</v>
      </c>
      <c r="J2115" s="1">
        <v>109.18</v>
      </c>
      <c r="K2115" t="s">
        <v>6</v>
      </c>
    </row>
    <row r="2116" spans="1:11">
      <c r="A2116" t="s">
        <v>2132</v>
      </c>
      <c r="B2116">
        <v>525496</v>
      </c>
      <c r="C2116" s="2" t="str">
        <f>"434"</f>
        <v>434</v>
      </c>
      <c r="D2116" t="s">
        <v>2150</v>
      </c>
      <c r="E2116" t="s">
        <v>4</v>
      </c>
      <c r="F2116">
        <v>30.82</v>
      </c>
      <c r="H2116" t="s">
        <v>5</v>
      </c>
      <c r="I2116" s="1">
        <v>100.25</v>
      </c>
      <c r="J2116" s="1">
        <v>99.26</v>
      </c>
      <c r="K2116" t="s">
        <v>6</v>
      </c>
    </row>
    <row r="2117" spans="1:11">
      <c r="A2117" t="s">
        <v>2132</v>
      </c>
      <c r="B2117">
        <v>544038</v>
      </c>
      <c r="C2117" s="2" t="str">
        <f>"44510/01"</f>
        <v>44510/01</v>
      </c>
      <c r="D2117" t="s">
        <v>2151</v>
      </c>
      <c r="E2117" t="s">
        <v>4</v>
      </c>
      <c r="F2117">
        <v>14.7</v>
      </c>
      <c r="H2117" t="s">
        <v>5</v>
      </c>
      <c r="I2117" s="1">
        <v>51.71</v>
      </c>
      <c r="J2117" s="1">
        <v>51.21</v>
      </c>
      <c r="K2117" t="s">
        <v>6</v>
      </c>
    </row>
    <row r="2118" spans="1:11">
      <c r="A2118" t="s">
        <v>2132</v>
      </c>
      <c r="B2118">
        <v>543928</v>
      </c>
      <c r="C2118" s="2" t="str">
        <f>"45629/10"</f>
        <v>45629/10</v>
      </c>
      <c r="D2118" t="s">
        <v>2152</v>
      </c>
      <c r="E2118" t="s">
        <v>4</v>
      </c>
      <c r="F2118">
        <v>11.38</v>
      </c>
      <c r="H2118" t="s">
        <v>5</v>
      </c>
      <c r="I2118" s="1">
        <v>30.39</v>
      </c>
      <c r="J2118" s="1">
        <v>30.09</v>
      </c>
      <c r="K2118" t="s">
        <v>6</v>
      </c>
    </row>
    <row r="2119" spans="1:11">
      <c r="A2119" t="s">
        <v>2132</v>
      </c>
      <c r="B2119">
        <v>540527</v>
      </c>
      <c r="C2119" s="2" t="str">
        <f>"4DCKDR"</f>
        <v>4DCKDR</v>
      </c>
      <c r="D2119" t="s">
        <v>2153</v>
      </c>
      <c r="E2119" t="s">
        <v>4</v>
      </c>
      <c r="F2119">
        <v>36.299999999999997</v>
      </c>
      <c r="H2119" t="s">
        <v>5</v>
      </c>
      <c r="I2119" s="1">
        <v>101.9</v>
      </c>
      <c r="J2119" s="1">
        <v>100.9</v>
      </c>
      <c r="K2119" t="s">
        <v>6</v>
      </c>
    </row>
    <row r="2120" spans="1:11">
      <c r="A2120" t="s">
        <v>2132</v>
      </c>
      <c r="B2120">
        <v>525499</v>
      </c>
      <c r="C2120" s="2" t="str">
        <f>"512"</f>
        <v>512</v>
      </c>
      <c r="D2120" t="s">
        <v>2154</v>
      </c>
      <c r="E2120" t="s">
        <v>4</v>
      </c>
      <c r="F2120">
        <v>39.54</v>
      </c>
      <c r="H2120" t="s">
        <v>5</v>
      </c>
      <c r="I2120" s="1">
        <v>115.69</v>
      </c>
      <c r="J2120" s="1">
        <v>114.56</v>
      </c>
      <c r="K2120" t="s">
        <v>6</v>
      </c>
    </row>
    <row r="2121" spans="1:11">
      <c r="A2121" t="s">
        <v>2132</v>
      </c>
      <c r="B2121">
        <v>544034</v>
      </c>
      <c r="C2121" s="2" t="str">
        <f>"52400/07"</f>
        <v>52400/07</v>
      </c>
      <c r="D2121" t="s">
        <v>2155</v>
      </c>
      <c r="E2121" t="s">
        <v>4</v>
      </c>
      <c r="F2121">
        <v>15.2</v>
      </c>
      <c r="H2121" t="s">
        <v>5</v>
      </c>
      <c r="I2121" s="1">
        <v>59.83</v>
      </c>
      <c r="J2121" s="1">
        <v>59.24</v>
      </c>
      <c r="K2121" t="s">
        <v>6</v>
      </c>
    </row>
    <row r="2122" spans="1:11">
      <c r="A2122" t="s">
        <v>2132</v>
      </c>
      <c r="B2122">
        <v>523751</v>
      </c>
      <c r="C2122" s="2" t="str">
        <f>"5338BE"</f>
        <v>5338BE</v>
      </c>
      <c r="D2122" t="s">
        <v>2156</v>
      </c>
      <c r="E2122" t="s">
        <v>4</v>
      </c>
      <c r="F2122">
        <v>18.5</v>
      </c>
      <c r="H2122" t="s">
        <v>5</v>
      </c>
      <c r="I2122" s="1">
        <v>86.65</v>
      </c>
      <c r="J2122" s="1">
        <v>85.8</v>
      </c>
      <c r="K2122" t="s">
        <v>6</v>
      </c>
    </row>
    <row r="2123" spans="1:11">
      <c r="A2123" t="s">
        <v>2132</v>
      </c>
      <c r="B2123">
        <v>522961</v>
      </c>
      <c r="C2123" s="2" t="str">
        <f>"5338CD"</f>
        <v>5338CD</v>
      </c>
      <c r="D2123" t="s">
        <v>2157</v>
      </c>
      <c r="E2123" t="s">
        <v>4</v>
      </c>
      <c r="F2123">
        <v>18.559999999999999</v>
      </c>
      <c r="H2123" t="s">
        <v>5</v>
      </c>
      <c r="I2123" s="1">
        <v>86.65</v>
      </c>
      <c r="J2123" s="1">
        <v>85.8</v>
      </c>
      <c r="K2123" t="s">
        <v>6</v>
      </c>
    </row>
    <row r="2124" spans="1:11">
      <c r="A2124" t="s">
        <v>2132</v>
      </c>
      <c r="B2124">
        <v>523749</v>
      </c>
      <c r="C2124" s="2" t="str">
        <f>"5342BE"</f>
        <v>5342BE</v>
      </c>
      <c r="D2124" t="s">
        <v>2158</v>
      </c>
      <c r="E2124" t="s">
        <v>4</v>
      </c>
      <c r="F2124">
        <v>25.41</v>
      </c>
      <c r="H2124" t="s">
        <v>5</v>
      </c>
      <c r="I2124" s="1">
        <v>116.09</v>
      </c>
      <c r="J2124" s="1">
        <v>114.95</v>
      </c>
      <c r="K2124" t="s">
        <v>6</v>
      </c>
    </row>
    <row r="2125" spans="1:11">
      <c r="A2125" t="s">
        <v>2132</v>
      </c>
      <c r="B2125">
        <v>522962</v>
      </c>
      <c r="C2125" s="2" t="str">
        <f>"5342CD"</f>
        <v>5342CD</v>
      </c>
      <c r="D2125" t="s">
        <v>2159</v>
      </c>
      <c r="E2125" t="s">
        <v>4</v>
      </c>
      <c r="F2125">
        <v>25.41</v>
      </c>
      <c r="H2125" t="s">
        <v>5</v>
      </c>
      <c r="I2125" s="1">
        <v>116.09</v>
      </c>
      <c r="J2125" s="1">
        <v>114.95</v>
      </c>
      <c r="K2125" t="s">
        <v>6</v>
      </c>
    </row>
    <row r="2126" spans="1:11">
      <c r="A2126" t="s">
        <v>2132</v>
      </c>
      <c r="B2126">
        <v>540530</v>
      </c>
      <c r="C2126" s="2" t="str">
        <f>"5342W"</f>
        <v>5342W</v>
      </c>
      <c r="D2126" t="s">
        <v>2160</v>
      </c>
      <c r="E2126" t="s">
        <v>4</v>
      </c>
      <c r="F2126">
        <v>27</v>
      </c>
      <c r="H2126" t="s">
        <v>5</v>
      </c>
      <c r="I2126" s="1">
        <v>116.09</v>
      </c>
      <c r="J2126" s="1">
        <v>114.95</v>
      </c>
      <c r="K2126" t="s">
        <v>6</v>
      </c>
    </row>
    <row r="2127" spans="1:11">
      <c r="A2127" t="s">
        <v>2132</v>
      </c>
      <c r="B2127">
        <v>523750</v>
      </c>
      <c r="C2127" s="2" t="str">
        <f>"5356BE"</f>
        <v>5356BE</v>
      </c>
      <c r="D2127" t="s">
        <v>2161</v>
      </c>
      <c r="E2127" t="s">
        <v>4</v>
      </c>
      <c r="F2127">
        <v>28.24</v>
      </c>
      <c r="H2127" t="s">
        <v>5</v>
      </c>
      <c r="I2127" s="1">
        <v>127.49</v>
      </c>
      <c r="J2127" s="1">
        <v>126.25</v>
      </c>
      <c r="K2127" t="s">
        <v>6</v>
      </c>
    </row>
    <row r="2128" spans="1:11">
      <c r="A2128" t="s">
        <v>2132</v>
      </c>
      <c r="B2128">
        <v>522966</v>
      </c>
      <c r="C2128" s="2" t="str">
        <f>"5356CD"</f>
        <v>5356CD</v>
      </c>
      <c r="D2128" t="s">
        <v>2162</v>
      </c>
      <c r="E2128" t="s">
        <v>4</v>
      </c>
      <c r="F2128">
        <v>28.24</v>
      </c>
      <c r="H2128" t="s">
        <v>5</v>
      </c>
      <c r="I2128" s="1">
        <v>127.49</v>
      </c>
      <c r="J2128" s="1">
        <v>126.25</v>
      </c>
      <c r="K2128" t="s">
        <v>6</v>
      </c>
    </row>
    <row r="2129" spans="1:11">
      <c r="A2129" t="s">
        <v>2132</v>
      </c>
      <c r="B2129">
        <v>522969</v>
      </c>
      <c r="C2129" s="2" t="str">
        <f>"5364CD"</f>
        <v>5364CD</v>
      </c>
      <c r="D2129" t="s">
        <v>2163</v>
      </c>
      <c r="E2129" t="s">
        <v>4</v>
      </c>
      <c r="F2129">
        <v>21.59</v>
      </c>
      <c r="H2129" t="s">
        <v>5</v>
      </c>
      <c r="I2129" s="1">
        <v>93.62</v>
      </c>
      <c r="J2129" s="1">
        <v>92.7</v>
      </c>
      <c r="K2129" t="s">
        <v>6</v>
      </c>
    </row>
    <row r="2130" spans="1:11">
      <c r="A2130" t="s">
        <v>2132</v>
      </c>
      <c r="B2130">
        <v>546713</v>
      </c>
      <c r="C2130" s="2" t="str">
        <f>"58PATH"</f>
        <v>58PATH</v>
      </c>
      <c r="D2130" t="s">
        <v>2164</v>
      </c>
      <c r="E2130" t="s">
        <v>4</v>
      </c>
      <c r="F2130">
        <v>20.420000000000002</v>
      </c>
      <c r="H2130" t="s">
        <v>5</v>
      </c>
      <c r="I2130" s="1">
        <v>74.52</v>
      </c>
      <c r="J2130" s="1">
        <v>73.790000000000006</v>
      </c>
      <c r="K2130" t="s">
        <v>6</v>
      </c>
    </row>
    <row r="2131" spans="1:11">
      <c r="A2131" t="s">
        <v>2132</v>
      </c>
      <c r="B2131">
        <v>523036</v>
      </c>
      <c r="C2131" s="2" t="str">
        <f>"600COT"</f>
        <v>600COT</v>
      </c>
      <c r="D2131" t="s">
        <v>2165</v>
      </c>
      <c r="E2131" t="s">
        <v>4</v>
      </c>
      <c r="F2131">
        <v>36</v>
      </c>
      <c r="H2131" t="s">
        <v>5</v>
      </c>
      <c r="I2131" s="1">
        <v>29.11</v>
      </c>
      <c r="J2131" s="1">
        <v>28.82</v>
      </c>
      <c r="K2131" t="s">
        <v>6</v>
      </c>
    </row>
    <row r="2132" spans="1:11">
      <c r="A2132" t="s">
        <v>2132</v>
      </c>
      <c r="B2132">
        <v>544036</v>
      </c>
      <c r="C2132" s="2" t="str">
        <f>"75032/04"</f>
        <v>75032/04</v>
      </c>
      <c r="D2132" t="s">
        <v>2166</v>
      </c>
      <c r="E2132" t="s">
        <v>4</v>
      </c>
      <c r="F2132">
        <v>6.93</v>
      </c>
      <c r="H2132" t="s">
        <v>5</v>
      </c>
      <c r="I2132" s="1">
        <v>34.58</v>
      </c>
      <c r="J2132" s="1">
        <v>34.24</v>
      </c>
      <c r="K2132" t="s">
        <v>6</v>
      </c>
    </row>
    <row r="2133" spans="1:11">
      <c r="A2133" t="s">
        <v>2132</v>
      </c>
      <c r="B2133">
        <v>544037</v>
      </c>
      <c r="C2133" s="2" t="str">
        <f>"762875/22"</f>
        <v>762875/22</v>
      </c>
      <c r="D2133" t="s">
        <v>2167</v>
      </c>
      <c r="E2133" t="s">
        <v>4</v>
      </c>
      <c r="F2133">
        <v>4.25</v>
      </c>
      <c r="H2133" t="s">
        <v>5</v>
      </c>
      <c r="I2133" s="1">
        <v>9.69</v>
      </c>
      <c r="J2133" s="1">
        <v>9.6</v>
      </c>
      <c r="K2133" t="s">
        <v>6</v>
      </c>
    </row>
    <row r="2134" spans="1:11">
      <c r="A2134" t="s">
        <v>2132</v>
      </c>
      <c r="B2134">
        <v>544033</v>
      </c>
      <c r="C2134" s="2" t="str">
        <f>"78152/75"</f>
        <v>78152/75</v>
      </c>
      <c r="D2134" t="s">
        <v>2168</v>
      </c>
      <c r="E2134" t="s">
        <v>4</v>
      </c>
      <c r="F2134">
        <v>10.55</v>
      </c>
      <c r="H2134" t="s">
        <v>5</v>
      </c>
      <c r="I2134" s="1">
        <v>29.17</v>
      </c>
      <c r="J2134" s="1">
        <v>28.89</v>
      </c>
      <c r="K2134" t="s">
        <v>6</v>
      </c>
    </row>
    <row r="2135" spans="1:11">
      <c r="A2135" t="s">
        <v>2132</v>
      </c>
      <c r="B2135">
        <v>540537</v>
      </c>
      <c r="C2135" s="2" t="str">
        <f>"83MASTER"</f>
        <v>83MASTER</v>
      </c>
      <c r="D2135" t="s">
        <v>2169</v>
      </c>
      <c r="E2135" t="s">
        <v>4</v>
      </c>
      <c r="F2135">
        <v>41.76</v>
      </c>
      <c r="H2135" t="s">
        <v>5</v>
      </c>
      <c r="I2135" s="1">
        <v>97.2</v>
      </c>
      <c r="J2135" s="1">
        <v>96.24</v>
      </c>
      <c r="K2135" t="s">
        <v>6</v>
      </c>
    </row>
    <row r="2136" spans="1:11">
      <c r="A2136" t="s">
        <v>2132</v>
      </c>
      <c r="B2136">
        <v>540514</v>
      </c>
      <c r="C2136" s="2" t="str">
        <f>"87220"</f>
        <v>87220</v>
      </c>
      <c r="D2136" t="s">
        <v>2170</v>
      </c>
      <c r="E2136" t="s">
        <v>4</v>
      </c>
      <c r="F2136">
        <v>12.02</v>
      </c>
      <c r="H2136" t="s">
        <v>5</v>
      </c>
      <c r="I2136" s="1">
        <v>116.49</v>
      </c>
      <c r="J2136" s="1">
        <v>115.35</v>
      </c>
      <c r="K2136" t="s">
        <v>6</v>
      </c>
    </row>
    <row r="2137" spans="1:11">
      <c r="A2137" t="s">
        <v>2132</v>
      </c>
      <c r="B2137">
        <v>525307</v>
      </c>
      <c r="C2137" s="2" t="str">
        <f>"87242"</f>
        <v>87242</v>
      </c>
      <c r="D2137" t="s">
        <v>2171</v>
      </c>
      <c r="E2137" t="s">
        <v>4</v>
      </c>
      <c r="F2137">
        <v>11.4</v>
      </c>
      <c r="H2137" t="s">
        <v>5</v>
      </c>
      <c r="I2137" s="1">
        <v>75.709999999999994</v>
      </c>
      <c r="J2137" s="1">
        <v>74.97</v>
      </c>
      <c r="K2137" t="s">
        <v>6</v>
      </c>
    </row>
    <row r="2138" spans="1:11">
      <c r="A2138" t="s">
        <v>2132</v>
      </c>
      <c r="B2138">
        <v>523034</v>
      </c>
      <c r="C2138" s="2" t="str">
        <f>"891258"</f>
        <v>891258</v>
      </c>
      <c r="D2138" t="s">
        <v>2172</v>
      </c>
      <c r="E2138" t="s">
        <v>4</v>
      </c>
      <c r="F2138">
        <v>35.479999999999997</v>
      </c>
      <c r="H2138" t="s">
        <v>5</v>
      </c>
      <c r="I2138" s="1">
        <v>67.89</v>
      </c>
      <c r="J2138" s="1">
        <v>67.23</v>
      </c>
      <c r="K2138" t="s">
        <v>6</v>
      </c>
    </row>
    <row r="2139" spans="1:11">
      <c r="A2139" t="s">
        <v>2132</v>
      </c>
      <c r="B2139">
        <v>524693</v>
      </c>
      <c r="C2139" s="2" t="str">
        <f>"891259"</f>
        <v>891259</v>
      </c>
      <c r="D2139" t="s">
        <v>2173</v>
      </c>
      <c r="E2139" t="s">
        <v>4</v>
      </c>
      <c r="F2139">
        <v>33.42</v>
      </c>
      <c r="H2139" t="s">
        <v>5</v>
      </c>
      <c r="I2139" s="1">
        <v>71.27</v>
      </c>
      <c r="J2139" s="1">
        <v>70.569999999999993</v>
      </c>
      <c r="K2139" t="s">
        <v>6</v>
      </c>
    </row>
    <row r="2140" spans="1:11">
      <c r="A2140" t="s">
        <v>2132</v>
      </c>
      <c r="B2140">
        <v>522965</v>
      </c>
      <c r="C2140" s="2" t="str">
        <f>"914LSRD"</f>
        <v>914LSRD</v>
      </c>
      <c r="D2140" t="s">
        <v>2174</v>
      </c>
      <c r="E2140" t="s">
        <v>4</v>
      </c>
      <c r="F2140">
        <v>6.11</v>
      </c>
      <c r="H2140" t="s">
        <v>5</v>
      </c>
      <c r="I2140" s="1">
        <v>37.19</v>
      </c>
      <c r="J2140" s="1">
        <v>36.83</v>
      </c>
      <c r="K2140" t="s">
        <v>6</v>
      </c>
    </row>
    <row r="2141" spans="1:11">
      <c r="A2141" t="s">
        <v>2132</v>
      </c>
      <c r="B2141">
        <v>523037</v>
      </c>
      <c r="C2141" s="2" t="str">
        <f>"928LSRD"</f>
        <v>928LSRD</v>
      </c>
      <c r="D2141" t="s">
        <v>2175</v>
      </c>
      <c r="E2141" t="s">
        <v>4</v>
      </c>
      <c r="F2141">
        <v>4.41</v>
      </c>
      <c r="H2141" t="s">
        <v>5</v>
      </c>
      <c r="I2141" s="1">
        <v>37.130000000000003</v>
      </c>
      <c r="J2141" s="1">
        <v>36.76</v>
      </c>
      <c r="K2141" t="s">
        <v>6</v>
      </c>
    </row>
    <row r="2142" spans="1:11">
      <c r="A2142" t="s">
        <v>2132</v>
      </c>
      <c r="B2142">
        <v>540655</v>
      </c>
      <c r="C2142" s="2" t="str">
        <f>"92959"</f>
        <v>92959</v>
      </c>
      <c r="D2142" t="s">
        <v>2176</v>
      </c>
      <c r="E2142" t="s">
        <v>4</v>
      </c>
      <c r="F2142">
        <v>21.62</v>
      </c>
      <c r="H2142" t="s">
        <v>5</v>
      </c>
      <c r="I2142" s="1">
        <v>100.51</v>
      </c>
      <c r="J2142" s="1">
        <v>99.53</v>
      </c>
      <c r="K2142" t="s">
        <v>6</v>
      </c>
    </row>
    <row r="2143" spans="1:11">
      <c r="A2143" t="s">
        <v>2132</v>
      </c>
      <c r="B2143">
        <v>540657</v>
      </c>
      <c r="C2143" s="2" t="str">
        <f>"92961"</f>
        <v>92961</v>
      </c>
      <c r="D2143" t="s">
        <v>2177</v>
      </c>
      <c r="E2143" t="s">
        <v>4</v>
      </c>
      <c r="F2143">
        <v>21.62</v>
      </c>
      <c r="H2143" t="s">
        <v>5</v>
      </c>
      <c r="I2143" s="1">
        <v>100.51</v>
      </c>
      <c r="J2143" s="1">
        <v>99.53</v>
      </c>
      <c r="K2143" t="s">
        <v>6</v>
      </c>
    </row>
    <row r="2144" spans="1:11">
      <c r="A2144" t="s">
        <v>2132</v>
      </c>
      <c r="B2144">
        <v>546760</v>
      </c>
      <c r="C2144" s="2" t="str">
        <f>"966PATH"</f>
        <v>966PATH</v>
      </c>
      <c r="D2144" t="s">
        <v>2178</v>
      </c>
      <c r="E2144" t="s">
        <v>4</v>
      </c>
      <c r="F2144">
        <v>43.3</v>
      </c>
      <c r="H2144" t="s">
        <v>5</v>
      </c>
      <c r="I2144" s="1">
        <v>141.41999999999999</v>
      </c>
      <c r="J2144" s="1">
        <v>140.03</v>
      </c>
      <c r="K2144" t="s">
        <v>6</v>
      </c>
    </row>
    <row r="2145" spans="1:11">
      <c r="A2145" t="s">
        <v>2132</v>
      </c>
      <c r="B2145">
        <v>546749</v>
      </c>
      <c r="C2145" s="2" t="str">
        <f>"977PATH"</f>
        <v>977PATH</v>
      </c>
      <c r="D2145" t="s">
        <v>2179</v>
      </c>
      <c r="E2145" t="s">
        <v>4</v>
      </c>
      <c r="F2145">
        <v>25.19</v>
      </c>
      <c r="H2145" t="s">
        <v>5</v>
      </c>
      <c r="I2145" s="1">
        <v>126.63</v>
      </c>
      <c r="J2145" s="1">
        <v>125.39</v>
      </c>
      <c r="K2145" t="s">
        <v>6</v>
      </c>
    </row>
    <row r="2146" spans="1:11">
      <c r="A2146" t="s">
        <v>2132</v>
      </c>
      <c r="B2146">
        <v>540547</v>
      </c>
      <c r="C2146" s="2" t="str">
        <f>"CC7"</f>
        <v>CC7</v>
      </c>
      <c r="D2146" t="s">
        <v>2180</v>
      </c>
      <c r="E2146" t="s">
        <v>4</v>
      </c>
      <c r="F2146">
        <v>13</v>
      </c>
      <c r="H2146" t="s">
        <v>5</v>
      </c>
      <c r="I2146" s="1">
        <v>54.5</v>
      </c>
      <c r="J2146" s="1">
        <v>53.96</v>
      </c>
      <c r="K2146" t="s">
        <v>6</v>
      </c>
    </row>
    <row r="2147" spans="1:11">
      <c r="A2147" t="s">
        <v>2132</v>
      </c>
      <c r="B2147">
        <v>545420</v>
      </c>
      <c r="C2147" s="2" t="str">
        <f>"CH54NC7"</f>
        <v>CH54NC7</v>
      </c>
      <c r="D2147" t="s">
        <v>2181</v>
      </c>
      <c r="E2147" t="s">
        <v>4</v>
      </c>
      <c r="F2147">
        <v>16</v>
      </c>
      <c r="H2147" t="s">
        <v>5</v>
      </c>
      <c r="I2147" s="1">
        <v>56.95</v>
      </c>
      <c r="J2147" s="1">
        <v>56.39</v>
      </c>
      <c r="K2147" t="s">
        <v>6</v>
      </c>
    </row>
    <row r="2148" spans="1:11">
      <c r="A2148" t="s">
        <v>2132</v>
      </c>
      <c r="B2148">
        <v>540699</v>
      </c>
      <c r="C2148" s="2" t="str">
        <f>"CH56NC7"</f>
        <v>CH56NC7</v>
      </c>
      <c r="D2148" t="s">
        <v>2182</v>
      </c>
      <c r="E2148" t="s">
        <v>4</v>
      </c>
      <c r="F2148">
        <v>10</v>
      </c>
      <c r="H2148" t="s">
        <v>5</v>
      </c>
      <c r="I2148" s="1">
        <v>43.16</v>
      </c>
      <c r="J2148" s="1">
        <v>42.74</v>
      </c>
      <c r="K2148" t="s">
        <v>6</v>
      </c>
    </row>
    <row r="2149" spans="1:11">
      <c r="A2149" t="s">
        <v>2132</v>
      </c>
      <c r="B2149">
        <v>523039</v>
      </c>
      <c r="C2149" s="2" t="str">
        <f>"CM26NSPC7"</f>
        <v>CM26NSPC7</v>
      </c>
      <c r="D2149" t="s">
        <v>2183</v>
      </c>
      <c r="E2149" t="s">
        <v>4</v>
      </c>
      <c r="F2149">
        <v>8.25</v>
      </c>
      <c r="H2149" t="s">
        <v>5</v>
      </c>
      <c r="I2149" s="1">
        <v>39.65</v>
      </c>
      <c r="J2149" s="1">
        <v>39.26</v>
      </c>
      <c r="K2149" t="s">
        <v>6</v>
      </c>
    </row>
    <row r="2150" spans="1:11">
      <c r="A2150" t="s">
        <v>2132</v>
      </c>
      <c r="B2150">
        <v>522960</v>
      </c>
      <c r="C2150" s="2" t="str">
        <f>"CMP26NSPC"</f>
        <v>CMP26NSPC</v>
      </c>
      <c r="D2150" t="s">
        <v>2184</v>
      </c>
      <c r="E2150" t="s">
        <v>4</v>
      </c>
      <c r="F2150">
        <v>6.5</v>
      </c>
      <c r="H2150" t="s">
        <v>5</v>
      </c>
      <c r="I2150" s="1">
        <v>36.07</v>
      </c>
      <c r="J2150" s="1">
        <v>35.71</v>
      </c>
      <c r="K2150" t="s">
        <v>6</v>
      </c>
    </row>
    <row r="2151" spans="1:11">
      <c r="A2151" t="s">
        <v>2132</v>
      </c>
      <c r="B2151">
        <v>522974</v>
      </c>
      <c r="C2151" s="2" t="str">
        <f>"D9538"</f>
        <v>D9538</v>
      </c>
      <c r="D2151" t="s">
        <v>2185</v>
      </c>
      <c r="E2151" t="s">
        <v>4</v>
      </c>
      <c r="F2151">
        <v>5.99</v>
      </c>
      <c r="H2151" t="s">
        <v>5</v>
      </c>
      <c r="I2151" s="1">
        <v>41.3</v>
      </c>
      <c r="J2151" s="1">
        <v>40.9</v>
      </c>
      <c r="K2151" t="s">
        <v>6</v>
      </c>
    </row>
    <row r="2152" spans="1:11">
      <c r="A2152" t="s">
        <v>2132</v>
      </c>
      <c r="B2152">
        <v>523041</v>
      </c>
      <c r="C2152" s="2" t="str">
        <f>"D9542"</f>
        <v>D9542</v>
      </c>
      <c r="D2152" t="s">
        <v>2186</v>
      </c>
      <c r="E2152" t="s">
        <v>4</v>
      </c>
      <c r="F2152">
        <v>8.02</v>
      </c>
      <c r="H2152" t="s">
        <v>5</v>
      </c>
      <c r="I2152" s="1">
        <v>43.1</v>
      </c>
      <c r="J2152" s="1">
        <v>42.67</v>
      </c>
      <c r="K2152" t="s">
        <v>6</v>
      </c>
    </row>
    <row r="2153" spans="1:11">
      <c r="A2153" t="s">
        <v>2132</v>
      </c>
      <c r="B2153">
        <v>522971</v>
      </c>
      <c r="C2153" s="2" t="str">
        <f>"D9542B"</f>
        <v>D9542B</v>
      </c>
      <c r="D2153" t="s">
        <v>2187</v>
      </c>
      <c r="E2153" t="s">
        <v>4</v>
      </c>
      <c r="F2153">
        <v>8.0299999999999994</v>
      </c>
      <c r="H2153" t="s">
        <v>5</v>
      </c>
      <c r="I2153" s="1">
        <v>44.82</v>
      </c>
      <c r="J2153" s="1">
        <v>44.38</v>
      </c>
      <c r="K2153" t="s">
        <v>6</v>
      </c>
    </row>
    <row r="2154" spans="1:11">
      <c r="A2154" t="s">
        <v>2132</v>
      </c>
      <c r="B2154">
        <v>522967</v>
      </c>
      <c r="C2154" s="2" t="str">
        <f>"D9550"</f>
        <v>D9550</v>
      </c>
      <c r="D2154" t="s">
        <v>2188</v>
      </c>
      <c r="E2154" t="s">
        <v>4</v>
      </c>
      <c r="F2154">
        <v>9.7899999999999991</v>
      </c>
      <c r="H2154" t="s">
        <v>5</v>
      </c>
      <c r="I2154" s="1">
        <v>46.54</v>
      </c>
      <c r="J2154" s="1">
        <v>46.09</v>
      </c>
      <c r="K2154" t="s">
        <v>6</v>
      </c>
    </row>
    <row r="2155" spans="1:11">
      <c r="A2155" t="s">
        <v>2132</v>
      </c>
      <c r="B2155">
        <v>522972</v>
      </c>
      <c r="C2155" s="2" t="str">
        <f>"D9550B"</f>
        <v>D9550B</v>
      </c>
      <c r="D2155" t="s">
        <v>2189</v>
      </c>
      <c r="E2155" t="s">
        <v>4</v>
      </c>
      <c r="F2155">
        <v>9.7899999999999991</v>
      </c>
      <c r="H2155" t="s">
        <v>5</v>
      </c>
      <c r="I2155" s="1">
        <v>48.27</v>
      </c>
      <c r="J2155" s="1">
        <v>47.79</v>
      </c>
      <c r="K2155" t="s">
        <v>6</v>
      </c>
    </row>
    <row r="2156" spans="1:11">
      <c r="A2156" t="s">
        <v>2132</v>
      </c>
      <c r="B2156">
        <v>523042</v>
      </c>
      <c r="C2156" s="2" t="str">
        <f>"FG18"</f>
        <v>FG18</v>
      </c>
      <c r="D2156" t="s">
        <v>2190</v>
      </c>
      <c r="E2156" t="s">
        <v>4</v>
      </c>
      <c r="F2156">
        <v>27.1</v>
      </c>
      <c r="H2156" t="s">
        <v>5</v>
      </c>
      <c r="I2156" s="1">
        <v>46.28</v>
      </c>
      <c r="J2156" s="1">
        <v>45.82</v>
      </c>
      <c r="K2156" t="s">
        <v>6</v>
      </c>
    </row>
    <row r="2157" spans="1:11">
      <c r="A2157" t="s">
        <v>2132</v>
      </c>
      <c r="B2157">
        <v>525497</v>
      </c>
      <c r="C2157" s="2" t="str">
        <f>"FH117"</f>
        <v>FH117</v>
      </c>
      <c r="D2157" t="s">
        <v>2191</v>
      </c>
      <c r="E2157" t="s">
        <v>4</v>
      </c>
      <c r="F2157">
        <v>12</v>
      </c>
      <c r="H2157" t="s">
        <v>5</v>
      </c>
      <c r="I2157" s="1">
        <v>26.52</v>
      </c>
      <c r="J2157" s="1">
        <v>26.26</v>
      </c>
      <c r="K2157" t="s">
        <v>6</v>
      </c>
    </row>
    <row r="2158" spans="1:11">
      <c r="A2158" t="s">
        <v>2132</v>
      </c>
      <c r="B2158">
        <v>525444</v>
      </c>
      <c r="C2158" s="2" t="str">
        <f>"FH217"</f>
        <v>FH217</v>
      </c>
      <c r="D2158" t="s">
        <v>2192</v>
      </c>
      <c r="E2158" t="s">
        <v>4</v>
      </c>
      <c r="F2158">
        <v>12</v>
      </c>
      <c r="H2158" t="s">
        <v>5</v>
      </c>
      <c r="I2158" s="1">
        <v>26.52</v>
      </c>
      <c r="J2158" s="1">
        <v>26.26</v>
      </c>
      <c r="K2158" t="s">
        <v>6</v>
      </c>
    </row>
    <row r="2159" spans="1:11">
      <c r="A2159" t="s">
        <v>2132</v>
      </c>
      <c r="B2159">
        <v>523043</v>
      </c>
      <c r="C2159" s="2" t="str">
        <f>"FH517"</f>
        <v>FH517</v>
      </c>
      <c r="D2159" t="s">
        <v>2193</v>
      </c>
      <c r="E2159" t="s">
        <v>4</v>
      </c>
      <c r="F2159">
        <v>12.1</v>
      </c>
      <c r="H2159" t="s">
        <v>5</v>
      </c>
      <c r="I2159" s="1">
        <v>26.52</v>
      </c>
      <c r="J2159" s="1">
        <v>26.26</v>
      </c>
      <c r="K2159" t="s">
        <v>6</v>
      </c>
    </row>
    <row r="2160" spans="1:11">
      <c r="A2160" t="s">
        <v>2132</v>
      </c>
      <c r="B2160">
        <v>534271</v>
      </c>
      <c r="C2160" s="2" t="str">
        <f>"FM117"</f>
        <v>FM117</v>
      </c>
      <c r="D2160" t="s">
        <v>2194</v>
      </c>
      <c r="E2160" t="s">
        <v>4</v>
      </c>
      <c r="F2160">
        <v>7.37</v>
      </c>
      <c r="H2160" t="s">
        <v>5</v>
      </c>
      <c r="I2160" s="1">
        <v>20.88</v>
      </c>
      <c r="J2160" s="1">
        <v>20.68</v>
      </c>
      <c r="K2160" t="s">
        <v>6</v>
      </c>
    </row>
    <row r="2161" spans="1:11">
      <c r="A2161" t="s">
        <v>2132</v>
      </c>
      <c r="B2161">
        <v>523044</v>
      </c>
      <c r="C2161" s="2" t="str">
        <f>"FM217"</f>
        <v>FM217</v>
      </c>
      <c r="D2161" t="s">
        <v>2195</v>
      </c>
      <c r="E2161" t="s">
        <v>4</v>
      </c>
      <c r="F2161">
        <v>7.37</v>
      </c>
      <c r="H2161" t="s">
        <v>5</v>
      </c>
      <c r="I2161" s="1">
        <v>20.88</v>
      </c>
      <c r="J2161" s="1">
        <v>20.68</v>
      </c>
      <c r="K2161" t="s">
        <v>6</v>
      </c>
    </row>
    <row r="2162" spans="1:11">
      <c r="A2162" t="s">
        <v>2132</v>
      </c>
      <c r="B2162">
        <v>523045</v>
      </c>
      <c r="C2162" s="2" t="str">
        <f>"FM517"</f>
        <v>FM517</v>
      </c>
      <c r="D2162" t="s">
        <v>2196</v>
      </c>
      <c r="E2162" t="s">
        <v>4</v>
      </c>
      <c r="F2162">
        <v>7.18</v>
      </c>
      <c r="H2162" t="s">
        <v>5</v>
      </c>
      <c r="I2162" s="1">
        <v>20.88</v>
      </c>
      <c r="J2162" s="1">
        <v>20.68</v>
      </c>
      <c r="K2162" t="s">
        <v>6</v>
      </c>
    </row>
    <row r="2163" spans="1:11">
      <c r="A2163" t="s">
        <v>2132</v>
      </c>
      <c r="B2163">
        <v>540575</v>
      </c>
      <c r="C2163" s="2" t="str">
        <f>"G8"</f>
        <v>G8</v>
      </c>
      <c r="D2163" t="s">
        <v>2197</v>
      </c>
      <c r="E2163" t="s">
        <v>4</v>
      </c>
      <c r="F2163">
        <v>25.29</v>
      </c>
      <c r="H2163" t="s">
        <v>5</v>
      </c>
      <c r="I2163" s="1">
        <v>52.64</v>
      </c>
      <c r="J2163" s="1">
        <v>52.13</v>
      </c>
      <c r="K2163" t="s">
        <v>6</v>
      </c>
    </row>
    <row r="2164" spans="1:11">
      <c r="A2164" t="s">
        <v>2132</v>
      </c>
      <c r="B2164">
        <v>523048</v>
      </c>
      <c r="C2164" s="2" t="str">
        <f>"GW104"</f>
        <v>GW104</v>
      </c>
      <c r="D2164" t="s">
        <v>2198</v>
      </c>
      <c r="E2164" t="s">
        <v>4</v>
      </c>
      <c r="F2164">
        <v>4.6900000000000004</v>
      </c>
      <c r="H2164" t="s">
        <v>5</v>
      </c>
      <c r="I2164" s="1">
        <v>23.21</v>
      </c>
      <c r="J2164" s="1">
        <v>22.98</v>
      </c>
      <c r="K2164" t="s">
        <v>6</v>
      </c>
    </row>
    <row r="2165" spans="1:11">
      <c r="A2165" t="s">
        <v>2132</v>
      </c>
      <c r="B2165">
        <v>523050</v>
      </c>
      <c r="C2165" s="2" t="str">
        <f>"HS1000"</f>
        <v>HS1000</v>
      </c>
      <c r="D2165" t="s">
        <v>2199</v>
      </c>
      <c r="E2165" t="s">
        <v>4</v>
      </c>
      <c r="F2165">
        <v>11.8</v>
      </c>
      <c r="H2165" t="s">
        <v>5</v>
      </c>
      <c r="I2165" s="1">
        <v>32.42</v>
      </c>
      <c r="J2165" s="1">
        <v>32.1</v>
      </c>
      <c r="K2165" t="s">
        <v>6</v>
      </c>
    </row>
    <row r="2166" spans="1:11">
      <c r="A2166" t="s">
        <v>2132</v>
      </c>
      <c r="B2166">
        <v>524689</v>
      </c>
      <c r="C2166" s="2" t="str">
        <f>"JB7"</f>
        <v>JB7</v>
      </c>
      <c r="D2166" t="s">
        <v>2200</v>
      </c>
      <c r="E2166" t="s">
        <v>4</v>
      </c>
      <c r="F2166">
        <v>17.71</v>
      </c>
      <c r="H2166" t="s">
        <v>5</v>
      </c>
      <c r="I2166" s="1">
        <v>79.099999999999994</v>
      </c>
      <c r="J2166" s="1">
        <v>78.319999999999993</v>
      </c>
      <c r="K2166" t="s">
        <v>6</v>
      </c>
    </row>
    <row r="2167" spans="1:11">
      <c r="A2167" t="s">
        <v>2132</v>
      </c>
      <c r="B2167">
        <v>540587</v>
      </c>
      <c r="C2167" s="2" t="str">
        <f>"JW104"</f>
        <v>JW104</v>
      </c>
      <c r="D2167" t="s">
        <v>2201</v>
      </c>
      <c r="E2167" t="s">
        <v>4</v>
      </c>
      <c r="F2167">
        <v>5.19</v>
      </c>
      <c r="H2167" t="s">
        <v>5</v>
      </c>
      <c r="I2167" s="1">
        <v>24.13</v>
      </c>
      <c r="J2167" s="1">
        <v>23.9</v>
      </c>
      <c r="K2167" t="s">
        <v>6</v>
      </c>
    </row>
    <row r="2168" spans="1:11">
      <c r="A2168" t="s">
        <v>2132</v>
      </c>
      <c r="B2168">
        <v>522959</v>
      </c>
      <c r="C2168" s="2" t="str">
        <f>"JW12"</f>
        <v>JW12</v>
      </c>
      <c r="D2168" t="s">
        <v>2202</v>
      </c>
      <c r="E2168" t="s">
        <v>4</v>
      </c>
      <c r="F2168">
        <v>5.19</v>
      </c>
      <c r="H2168" t="s">
        <v>5</v>
      </c>
      <c r="I2168" s="1">
        <v>25.99</v>
      </c>
      <c r="J2168" s="1">
        <v>25.73</v>
      </c>
      <c r="K2168" t="s">
        <v>6</v>
      </c>
    </row>
    <row r="2169" spans="1:11">
      <c r="A2169" t="s">
        <v>2132</v>
      </c>
      <c r="B2169">
        <v>540588</v>
      </c>
      <c r="C2169" s="2" t="str">
        <f>"JW7"</f>
        <v>JW7</v>
      </c>
      <c r="D2169" t="s">
        <v>2203</v>
      </c>
      <c r="E2169" t="s">
        <v>4</v>
      </c>
      <c r="F2169">
        <v>17.68</v>
      </c>
      <c r="H2169" t="s">
        <v>5</v>
      </c>
      <c r="I2169" s="1">
        <v>92.62</v>
      </c>
      <c r="J2169" s="1">
        <v>91.71</v>
      </c>
      <c r="K2169" t="s">
        <v>6</v>
      </c>
    </row>
    <row r="2170" spans="1:11">
      <c r="A2170" t="s">
        <v>2132</v>
      </c>
      <c r="B2170">
        <v>523053</v>
      </c>
      <c r="C2170" s="2" t="str">
        <f>"JW74"</f>
        <v>JW74</v>
      </c>
      <c r="D2170" t="s">
        <v>2204</v>
      </c>
      <c r="E2170" t="s">
        <v>4</v>
      </c>
      <c r="F2170">
        <v>3.73</v>
      </c>
      <c r="H2170" t="s">
        <v>5</v>
      </c>
      <c r="I2170" s="1">
        <v>24.13</v>
      </c>
      <c r="J2170" s="1">
        <v>23.9</v>
      </c>
      <c r="K2170" t="s">
        <v>6</v>
      </c>
    </row>
    <row r="2171" spans="1:11">
      <c r="A2171" t="s">
        <v>2132</v>
      </c>
      <c r="B2171">
        <v>540589</v>
      </c>
      <c r="C2171" s="2" t="str">
        <f>"KH117"</f>
        <v>KH117</v>
      </c>
      <c r="D2171" t="s">
        <v>2205</v>
      </c>
      <c r="E2171" t="s">
        <v>4</v>
      </c>
      <c r="F2171">
        <v>11.66</v>
      </c>
      <c r="H2171" t="s">
        <v>5</v>
      </c>
      <c r="I2171" s="1">
        <v>26.52</v>
      </c>
      <c r="J2171" s="1">
        <v>26.26</v>
      </c>
      <c r="K2171" t="s">
        <v>6</v>
      </c>
    </row>
    <row r="2172" spans="1:11">
      <c r="A2172" t="s">
        <v>2132</v>
      </c>
      <c r="B2172">
        <v>525445</v>
      </c>
      <c r="C2172" s="2" t="str">
        <f>"KH217"</f>
        <v>KH217</v>
      </c>
      <c r="D2172" t="s">
        <v>2206</v>
      </c>
      <c r="E2172" t="s">
        <v>4</v>
      </c>
      <c r="F2172">
        <v>11.66</v>
      </c>
      <c r="H2172" t="s">
        <v>5</v>
      </c>
      <c r="I2172" s="1">
        <v>26.52</v>
      </c>
      <c r="J2172" s="1">
        <v>26.26</v>
      </c>
      <c r="K2172" t="s">
        <v>6</v>
      </c>
    </row>
    <row r="2173" spans="1:11">
      <c r="A2173" t="s">
        <v>2132</v>
      </c>
      <c r="B2173">
        <v>523055</v>
      </c>
      <c r="C2173" s="2" t="str">
        <f>"KH517"</f>
        <v>KH517</v>
      </c>
      <c r="D2173" t="s">
        <v>2207</v>
      </c>
      <c r="E2173" t="s">
        <v>4</v>
      </c>
      <c r="F2173">
        <v>11.66</v>
      </c>
      <c r="H2173" t="s">
        <v>5</v>
      </c>
      <c r="I2173" s="1">
        <v>26.52</v>
      </c>
      <c r="J2173" s="1">
        <v>26.26</v>
      </c>
      <c r="K2173" t="s">
        <v>6</v>
      </c>
    </row>
    <row r="2174" spans="1:11">
      <c r="A2174" t="s">
        <v>2132</v>
      </c>
      <c r="B2174">
        <v>546742</v>
      </c>
      <c r="C2174" s="2" t="str">
        <f>"KL100PATH"</f>
        <v>KL100PATH</v>
      </c>
      <c r="D2174" t="s">
        <v>2208</v>
      </c>
      <c r="E2174" t="s">
        <v>4</v>
      </c>
      <c r="F2174">
        <v>15.16</v>
      </c>
      <c r="H2174" t="s">
        <v>5</v>
      </c>
      <c r="I2174" s="1">
        <v>25.06</v>
      </c>
      <c r="J2174" s="1">
        <v>24.82</v>
      </c>
      <c r="K2174" t="s">
        <v>6</v>
      </c>
    </row>
    <row r="2175" spans="1:11">
      <c r="A2175" t="s">
        <v>2132</v>
      </c>
      <c r="B2175">
        <v>523056</v>
      </c>
      <c r="C2175" s="2" t="str">
        <f>"KL15"</f>
        <v>KL15</v>
      </c>
      <c r="D2175" t="s">
        <v>2209</v>
      </c>
      <c r="E2175" t="s">
        <v>4</v>
      </c>
      <c r="F2175">
        <v>20.2</v>
      </c>
      <c r="H2175" t="s">
        <v>5</v>
      </c>
      <c r="I2175" s="1">
        <v>33.479999999999997</v>
      </c>
      <c r="J2175" s="1">
        <v>33.15</v>
      </c>
      <c r="K2175" t="s">
        <v>6</v>
      </c>
    </row>
    <row r="2176" spans="1:11">
      <c r="A2176" t="s">
        <v>2132</v>
      </c>
      <c r="B2176">
        <v>523057</v>
      </c>
      <c r="C2176" s="2" t="str">
        <f>"KL18"</f>
        <v>KL18</v>
      </c>
      <c r="D2176" t="s">
        <v>2210</v>
      </c>
      <c r="E2176" t="s">
        <v>4</v>
      </c>
      <c r="F2176">
        <v>24.3</v>
      </c>
      <c r="H2176" t="s">
        <v>5</v>
      </c>
      <c r="I2176" s="1">
        <v>40.11</v>
      </c>
      <c r="J2176" s="1">
        <v>39.72</v>
      </c>
      <c r="K2176" t="s">
        <v>6</v>
      </c>
    </row>
    <row r="2177" spans="1:11">
      <c r="A2177" t="s">
        <v>2132</v>
      </c>
      <c r="B2177">
        <v>546743</v>
      </c>
      <c r="C2177" s="2" t="str">
        <f>"KL200PATH"</f>
        <v>KL200PATH</v>
      </c>
      <c r="D2177" t="s">
        <v>2211</v>
      </c>
      <c r="E2177" t="s">
        <v>4</v>
      </c>
      <c r="F2177">
        <v>16.739999999999998</v>
      </c>
      <c r="H2177" t="s">
        <v>5</v>
      </c>
      <c r="I2177" s="1">
        <v>28.31</v>
      </c>
      <c r="J2177" s="1">
        <v>28.03</v>
      </c>
      <c r="K2177" t="s">
        <v>6</v>
      </c>
    </row>
    <row r="2178" spans="1:11">
      <c r="A2178" t="s">
        <v>2132</v>
      </c>
      <c r="B2178">
        <v>540685</v>
      </c>
      <c r="C2178" s="2" t="str">
        <f>"KL200W8"</f>
        <v>KL200W8</v>
      </c>
      <c r="D2178" t="s">
        <v>2212</v>
      </c>
      <c r="E2178" t="s">
        <v>4</v>
      </c>
      <c r="F2178">
        <v>16.739999999999998</v>
      </c>
      <c r="H2178" t="s">
        <v>5</v>
      </c>
      <c r="I2178" s="1">
        <v>27.51</v>
      </c>
      <c r="J2178" s="1">
        <v>27.24</v>
      </c>
      <c r="K2178" t="s">
        <v>6</v>
      </c>
    </row>
    <row r="2179" spans="1:11">
      <c r="A2179" t="s">
        <v>2132</v>
      </c>
      <c r="B2179">
        <v>540594</v>
      </c>
      <c r="C2179" s="2" t="str">
        <f>"KL24"</f>
        <v>KL24</v>
      </c>
      <c r="D2179" t="s">
        <v>2213</v>
      </c>
      <c r="E2179" t="s">
        <v>4</v>
      </c>
      <c r="F2179">
        <v>31.7</v>
      </c>
      <c r="H2179" t="s">
        <v>5</v>
      </c>
      <c r="I2179" s="1">
        <v>54.1</v>
      </c>
      <c r="J2179" s="1">
        <v>53.57</v>
      </c>
      <c r="K2179" t="s">
        <v>6</v>
      </c>
    </row>
    <row r="2180" spans="1:11">
      <c r="A2180" t="s">
        <v>2132</v>
      </c>
      <c r="B2180">
        <v>546747</v>
      </c>
      <c r="C2180" s="2" t="str">
        <f>"KL25PATH"</f>
        <v>KL25PATH</v>
      </c>
      <c r="D2180" t="s">
        <v>2214</v>
      </c>
      <c r="E2180" t="s">
        <v>4</v>
      </c>
      <c r="F2180">
        <v>7.53</v>
      </c>
      <c r="H2180" t="s">
        <v>5</v>
      </c>
      <c r="I2180" s="1">
        <v>16.579999999999998</v>
      </c>
      <c r="J2180" s="1">
        <v>16.41</v>
      </c>
      <c r="K2180" t="s">
        <v>6</v>
      </c>
    </row>
    <row r="2181" spans="1:11">
      <c r="A2181" t="s">
        <v>2132</v>
      </c>
      <c r="B2181">
        <v>546740</v>
      </c>
      <c r="C2181" s="2" t="str">
        <f>"KL300PATH"</f>
        <v>KL300PATH</v>
      </c>
      <c r="D2181" t="s">
        <v>2215</v>
      </c>
      <c r="E2181" t="s">
        <v>4</v>
      </c>
      <c r="F2181">
        <v>13.61</v>
      </c>
      <c r="H2181" t="s">
        <v>5</v>
      </c>
      <c r="I2181" s="1">
        <v>21.68</v>
      </c>
      <c r="J2181" s="1">
        <v>21.47</v>
      </c>
      <c r="K2181" t="s">
        <v>6</v>
      </c>
    </row>
    <row r="2182" spans="1:11">
      <c r="A2182" t="s">
        <v>2132</v>
      </c>
      <c r="B2182">
        <v>540599</v>
      </c>
      <c r="C2182" s="2" t="str">
        <f>"KM117"</f>
        <v>KM117</v>
      </c>
      <c r="D2182" t="s">
        <v>2216</v>
      </c>
      <c r="E2182" t="s">
        <v>4</v>
      </c>
      <c r="F2182">
        <v>7.95</v>
      </c>
      <c r="H2182" t="s">
        <v>5</v>
      </c>
      <c r="I2182" s="1">
        <v>20.88</v>
      </c>
      <c r="J2182" s="1">
        <v>20.68</v>
      </c>
      <c r="K2182" t="s">
        <v>6</v>
      </c>
    </row>
    <row r="2183" spans="1:11">
      <c r="A2183" t="s">
        <v>2132</v>
      </c>
      <c r="B2183">
        <v>523058</v>
      </c>
      <c r="C2183" s="2" t="str">
        <f>"KM217"</f>
        <v>KM217</v>
      </c>
      <c r="D2183" t="s">
        <v>2217</v>
      </c>
      <c r="E2183" t="s">
        <v>4</v>
      </c>
      <c r="F2183">
        <v>7.95</v>
      </c>
      <c r="H2183" t="s">
        <v>5</v>
      </c>
      <c r="I2183" s="1">
        <v>20.88</v>
      </c>
      <c r="J2183" s="1">
        <v>20.68</v>
      </c>
      <c r="K2183" t="s">
        <v>6</v>
      </c>
    </row>
    <row r="2184" spans="1:11">
      <c r="A2184" t="s">
        <v>2132</v>
      </c>
      <c r="B2184">
        <v>523059</v>
      </c>
      <c r="C2184" s="2" t="str">
        <f>"KM517"</f>
        <v>KM517</v>
      </c>
      <c r="D2184" t="s">
        <v>2218</v>
      </c>
      <c r="E2184" t="s">
        <v>4</v>
      </c>
      <c r="F2184">
        <v>7.95</v>
      </c>
      <c r="H2184" t="s">
        <v>5</v>
      </c>
      <c r="I2184" s="1">
        <v>20.88</v>
      </c>
      <c r="J2184" s="1">
        <v>20.68</v>
      </c>
      <c r="K2184" t="s">
        <v>6</v>
      </c>
    </row>
    <row r="2185" spans="1:11">
      <c r="A2185" t="s">
        <v>2132</v>
      </c>
      <c r="B2185">
        <v>523060</v>
      </c>
      <c r="C2185" s="2" t="str">
        <f>"LO10"</f>
        <v>LO10</v>
      </c>
      <c r="D2185" t="s">
        <v>2219</v>
      </c>
      <c r="E2185" t="s">
        <v>4</v>
      </c>
      <c r="F2185">
        <v>24.19</v>
      </c>
      <c r="H2185" t="s">
        <v>5</v>
      </c>
      <c r="I2185" s="1">
        <v>43.76</v>
      </c>
      <c r="J2185" s="1">
        <v>43.33</v>
      </c>
      <c r="K2185" t="s">
        <v>6</v>
      </c>
    </row>
    <row r="2186" spans="1:11">
      <c r="A2186" t="s">
        <v>2132</v>
      </c>
      <c r="B2186">
        <v>540603</v>
      </c>
      <c r="C2186" s="2" t="str">
        <f>"LQ1212PL"</f>
        <v>LQ1212PL</v>
      </c>
      <c r="D2186" t="s">
        <v>2220</v>
      </c>
      <c r="E2186" t="s">
        <v>4</v>
      </c>
      <c r="F2186">
        <v>23.36</v>
      </c>
      <c r="H2186" t="s">
        <v>5</v>
      </c>
      <c r="I2186" s="1">
        <v>60.2</v>
      </c>
      <c r="J2186" s="1">
        <v>59.61</v>
      </c>
      <c r="K2186" t="s">
        <v>6</v>
      </c>
    </row>
    <row r="2187" spans="1:11">
      <c r="A2187" t="s">
        <v>2132</v>
      </c>
      <c r="B2187">
        <v>525293</v>
      </c>
      <c r="C2187" s="2" t="str">
        <f>"LQ1416PL"</f>
        <v>LQ1416PL</v>
      </c>
      <c r="D2187" t="s">
        <v>2221</v>
      </c>
      <c r="E2187" t="s">
        <v>4</v>
      </c>
      <c r="F2187">
        <v>14.84</v>
      </c>
      <c r="H2187" t="s">
        <v>5</v>
      </c>
      <c r="I2187" s="1">
        <v>45.28</v>
      </c>
      <c r="J2187" s="1">
        <v>44.84</v>
      </c>
      <c r="K2187" t="s">
        <v>6</v>
      </c>
    </row>
    <row r="2188" spans="1:11">
      <c r="A2188" t="s">
        <v>2132</v>
      </c>
      <c r="B2188">
        <v>540604</v>
      </c>
      <c r="C2188" s="2" t="str">
        <f>"LT21"</f>
        <v>LT21</v>
      </c>
      <c r="D2188" t="s">
        <v>2222</v>
      </c>
      <c r="E2188" t="s">
        <v>4</v>
      </c>
      <c r="F2188">
        <v>4.75</v>
      </c>
      <c r="H2188" t="s">
        <v>5</v>
      </c>
      <c r="I2188" s="1">
        <v>18.3</v>
      </c>
      <c r="J2188" s="1">
        <v>18.12</v>
      </c>
      <c r="K2188" t="s">
        <v>6</v>
      </c>
    </row>
    <row r="2189" spans="1:11">
      <c r="A2189" t="s">
        <v>2132</v>
      </c>
      <c r="B2189">
        <v>546956</v>
      </c>
      <c r="C2189" s="2" t="str">
        <f>"MGVB12W"</f>
        <v>MGVB12W</v>
      </c>
      <c r="D2189" t="s">
        <v>2223</v>
      </c>
      <c r="E2189" t="s">
        <v>4</v>
      </c>
      <c r="F2189">
        <v>18.690000000000001</v>
      </c>
      <c r="H2189" t="s">
        <v>5</v>
      </c>
      <c r="I2189" s="1">
        <v>38.32</v>
      </c>
      <c r="J2189" s="1">
        <v>37.950000000000003</v>
      </c>
      <c r="K2189" t="s">
        <v>6</v>
      </c>
    </row>
    <row r="2190" spans="1:11">
      <c r="A2190" t="s">
        <v>2132</v>
      </c>
      <c r="B2190">
        <v>532990</v>
      </c>
      <c r="C2190" s="2" t="str">
        <f>"MGVP09W"</f>
        <v>MGVP09W</v>
      </c>
      <c r="D2190" t="s">
        <v>2224</v>
      </c>
      <c r="E2190" t="s">
        <v>4</v>
      </c>
      <c r="F2190">
        <v>12.23</v>
      </c>
      <c r="H2190" t="s">
        <v>5</v>
      </c>
      <c r="I2190" s="1">
        <v>24.8</v>
      </c>
      <c r="J2190" s="1">
        <v>24.55</v>
      </c>
      <c r="K2190" t="s">
        <v>6</v>
      </c>
    </row>
    <row r="2191" spans="1:11">
      <c r="A2191" t="s">
        <v>2132</v>
      </c>
      <c r="B2191">
        <v>525440</v>
      </c>
      <c r="C2191" s="2" t="str">
        <f>"P010BB"</f>
        <v>P010BB</v>
      </c>
      <c r="D2191" t="s">
        <v>2225</v>
      </c>
      <c r="E2191" t="s">
        <v>4</v>
      </c>
      <c r="F2191">
        <v>13.42</v>
      </c>
      <c r="H2191" t="s">
        <v>5</v>
      </c>
      <c r="I2191" s="1">
        <v>65.040000000000006</v>
      </c>
      <c r="J2191" s="1">
        <v>64.400000000000006</v>
      </c>
      <c r="K2191" t="s">
        <v>6</v>
      </c>
    </row>
    <row r="2192" spans="1:11">
      <c r="A2192" t="s">
        <v>2132</v>
      </c>
      <c r="B2192">
        <v>523062</v>
      </c>
      <c r="C2192" s="2" t="str">
        <f>"P020BLK"</f>
        <v>P020BLK</v>
      </c>
      <c r="D2192" t="s">
        <v>2226</v>
      </c>
      <c r="E2192" t="s">
        <v>4</v>
      </c>
      <c r="F2192">
        <v>9.64</v>
      </c>
      <c r="H2192" t="s">
        <v>5</v>
      </c>
      <c r="I2192" s="1">
        <v>37.53</v>
      </c>
      <c r="J2192" s="1">
        <v>37.159999999999997</v>
      </c>
      <c r="K2192" t="s">
        <v>6</v>
      </c>
    </row>
    <row r="2193" spans="1:11">
      <c r="A2193" t="s">
        <v>2132</v>
      </c>
      <c r="B2193">
        <v>523063</v>
      </c>
      <c r="C2193" s="2" t="str">
        <f>"P020XXTRANSL"</f>
        <v>P020XXTRANSL</v>
      </c>
      <c r="D2193" t="s">
        <v>2227</v>
      </c>
      <c r="E2193" t="s">
        <v>4</v>
      </c>
      <c r="F2193">
        <v>9.64</v>
      </c>
      <c r="H2193" t="s">
        <v>5</v>
      </c>
      <c r="I2193" s="1">
        <v>33.68</v>
      </c>
      <c r="J2193" s="1">
        <v>33.35</v>
      </c>
      <c r="K2193" t="s">
        <v>6</v>
      </c>
    </row>
    <row r="2194" spans="1:11">
      <c r="A2194" t="s">
        <v>2132</v>
      </c>
      <c r="B2194">
        <v>523148</v>
      </c>
      <c r="C2194" s="2" t="str">
        <f>"P032BLK"</f>
        <v>P032BLK</v>
      </c>
      <c r="D2194" t="s">
        <v>2228</v>
      </c>
      <c r="E2194" t="s">
        <v>4</v>
      </c>
      <c r="F2194">
        <v>17.11</v>
      </c>
      <c r="H2194" t="s">
        <v>5</v>
      </c>
      <c r="I2194" s="1">
        <v>54.9</v>
      </c>
      <c r="J2194" s="1">
        <v>54.36</v>
      </c>
      <c r="K2194" t="s">
        <v>6</v>
      </c>
    </row>
    <row r="2195" spans="1:11">
      <c r="A2195" t="s">
        <v>2132</v>
      </c>
      <c r="B2195">
        <v>523147</v>
      </c>
      <c r="C2195" s="2" t="str">
        <f>"P032TRANSLUC"</f>
        <v>P032TRANSLUC</v>
      </c>
      <c r="D2195" t="s">
        <v>2229</v>
      </c>
      <c r="E2195" t="s">
        <v>4</v>
      </c>
      <c r="F2195">
        <v>17.11</v>
      </c>
      <c r="H2195" t="s">
        <v>5</v>
      </c>
      <c r="I2195" s="1">
        <v>52.91</v>
      </c>
      <c r="J2195" s="1">
        <v>52.39</v>
      </c>
      <c r="K2195" t="s">
        <v>6</v>
      </c>
    </row>
    <row r="2196" spans="1:11">
      <c r="A2196" t="s">
        <v>2132</v>
      </c>
      <c r="B2196">
        <v>522968</v>
      </c>
      <c r="C2196" s="2" t="str">
        <f>"P040BLK"</f>
        <v>P040BLK</v>
      </c>
      <c r="D2196" t="s">
        <v>2230</v>
      </c>
      <c r="E2196" t="s">
        <v>4</v>
      </c>
      <c r="F2196">
        <v>21.3</v>
      </c>
      <c r="H2196" t="s">
        <v>5</v>
      </c>
      <c r="I2196" s="1">
        <v>58.28</v>
      </c>
      <c r="J2196" s="1">
        <v>57.71</v>
      </c>
      <c r="K2196" t="s">
        <v>6</v>
      </c>
    </row>
    <row r="2197" spans="1:11">
      <c r="A2197" t="s">
        <v>2132</v>
      </c>
      <c r="B2197">
        <v>523064</v>
      </c>
      <c r="C2197" s="2" t="str">
        <f>"P040TRANSLUC"</f>
        <v>P040TRANSLUC</v>
      </c>
      <c r="D2197" t="s">
        <v>2231</v>
      </c>
      <c r="E2197" t="s">
        <v>4</v>
      </c>
      <c r="F2197">
        <v>21.3</v>
      </c>
      <c r="H2197" t="s">
        <v>5</v>
      </c>
      <c r="I2197" s="1">
        <v>56.29</v>
      </c>
      <c r="J2197" s="1">
        <v>55.74</v>
      </c>
      <c r="K2197" t="s">
        <v>6</v>
      </c>
    </row>
    <row r="2198" spans="1:11">
      <c r="A2198" t="s">
        <v>2132</v>
      </c>
      <c r="B2198">
        <v>552270</v>
      </c>
      <c r="C2198" s="2" t="str">
        <f>"PDLTL12.16-B"</f>
        <v>PDLTL12.16-B</v>
      </c>
      <c r="D2198" t="s">
        <v>2232</v>
      </c>
      <c r="E2198" t="s">
        <v>4</v>
      </c>
      <c r="F2198">
        <v>10.87</v>
      </c>
      <c r="H2198" t="s">
        <v>5</v>
      </c>
      <c r="I2198" s="1">
        <v>51.58</v>
      </c>
      <c r="J2198" s="1">
        <v>51.08</v>
      </c>
      <c r="K2198" t="s">
        <v>6</v>
      </c>
    </row>
    <row r="2199" spans="1:11">
      <c r="A2199" t="s">
        <v>2132</v>
      </c>
      <c r="B2199">
        <v>540713</v>
      </c>
      <c r="C2199" s="2" t="str">
        <f>"PFH51"</f>
        <v>PFH51</v>
      </c>
      <c r="D2199" t="s">
        <v>2233</v>
      </c>
      <c r="E2199" t="s">
        <v>4</v>
      </c>
      <c r="F2199">
        <v>9.34</v>
      </c>
      <c r="H2199" t="s">
        <v>5</v>
      </c>
      <c r="I2199" s="1">
        <v>26.79</v>
      </c>
      <c r="J2199" s="1">
        <v>26.52</v>
      </c>
      <c r="K2199" t="s">
        <v>6</v>
      </c>
    </row>
    <row r="2200" spans="1:11">
      <c r="A2200" t="s">
        <v>2132</v>
      </c>
      <c r="B2200">
        <v>522921</v>
      </c>
      <c r="C2200" s="2" t="str">
        <f>"PFM21"</f>
        <v>PFM21</v>
      </c>
      <c r="D2200" t="s">
        <v>2234</v>
      </c>
      <c r="E2200" t="s">
        <v>4</v>
      </c>
      <c r="F2200">
        <v>5.27</v>
      </c>
      <c r="H2200" t="s">
        <v>5</v>
      </c>
      <c r="I2200" s="1">
        <v>14.59</v>
      </c>
      <c r="J2200" s="1">
        <v>14.44</v>
      </c>
      <c r="K2200" t="s">
        <v>6</v>
      </c>
    </row>
    <row r="2201" spans="1:11">
      <c r="A2201" t="s">
        <v>2132</v>
      </c>
      <c r="B2201">
        <v>523084</v>
      </c>
      <c r="C2201" s="2" t="str">
        <f>"PIZ121"</f>
        <v>PIZ121</v>
      </c>
      <c r="D2201" t="s">
        <v>2235</v>
      </c>
      <c r="E2201" t="s">
        <v>4</v>
      </c>
      <c r="F2201">
        <v>11.8</v>
      </c>
      <c r="H2201" t="s">
        <v>5</v>
      </c>
      <c r="I2201" s="1">
        <v>59.94</v>
      </c>
      <c r="J2201" s="1">
        <v>59.35</v>
      </c>
      <c r="K2201" t="s">
        <v>6</v>
      </c>
    </row>
    <row r="2202" spans="1:11">
      <c r="A2202" t="s">
        <v>2132</v>
      </c>
      <c r="B2202">
        <v>540714</v>
      </c>
      <c r="C2202" s="2" t="str">
        <f>"PKH51"</f>
        <v>PKH51</v>
      </c>
      <c r="D2202" t="s">
        <v>2236</v>
      </c>
      <c r="E2202" t="s">
        <v>4</v>
      </c>
      <c r="F2202">
        <v>9.9499999999999993</v>
      </c>
      <c r="H2202" t="s">
        <v>5</v>
      </c>
      <c r="I2202" s="1">
        <v>26.79</v>
      </c>
      <c r="J2202" s="1">
        <v>26.52</v>
      </c>
      <c r="K2202" t="s">
        <v>6</v>
      </c>
    </row>
    <row r="2203" spans="1:11">
      <c r="A2203" t="s">
        <v>2132</v>
      </c>
      <c r="B2203">
        <v>525705</v>
      </c>
      <c r="C2203" s="2" t="str">
        <f>"PL1C"</f>
        <v>PL1C</v>
      </c>
      <c r="D2203" t="s">
        <v>2237</v>
      </c>
      <c r="E2203" t="s">
        <v>4</v>
      </c>
      <c r="F2203">
        <v>5.62</v>
      </c>
      <c r="H2203" t="s">
        <v>5</v>
      </c>
      <c r="I2203" s="1">
        <v>76.84</v>
      </c>
      <c r="J2203" s="1">
        <v>76.09</v>
      </c>
      <c r="K2203" t="s">
        <v>6</v>
      </c>
    </row>
    <row r="2204" spans="1:11">
      <c r="A2204" t="s">
        <v>2132</v>
      </c>
      <c r="B2204">
        <v>523085</v>
      </c>
      <c r="C2204" s="2" t="str">
        <f>"PL2"</f>
        <v>PL2</v>
      </c>
      <c r="D2204" t="s">
        <v>2238</v>
      </c>
      <c r="E2204" t="s">
        <v>4</v>
      </c>
      <c r="F2204">
        <v>5.8</v>
      </c>
      <c r="H2204" t="s">
        <v>5</v>
      </c>
      <c r="I2204" s="1">
        <v>29.37</v>
      </c>
      <c r="J2204" s="1">
        <v>29.08</v>
      </c>
      <c r="K2204" t="s">
        <v>6</v>
      </c>
    </row>
    <row r="2205" spans="1:11">
      <c r="A2205" t="s">
        <v>2132</v>
      </c>
      <c r="B2205">
        <v>525706</v>
      </c>
      <c r="C2205" s="2" t="str">
        <f>"PL2C"</f>
        <v>PL2C</v>
      </c>
      <c r="D2205" t="s">
        <v>2239</v>
      </c>
      <c r="E2205" t="s">
        <v>4</v>
      </c>
      <c r="F2205">
        <v>7.51</v>
      </c>
      <c r="H2205" t="s">
        <v>5</v>
      </c>
      <c r="I2205" s="1">
        <v>44.42</v>
      </c>
      <c r="J2205" s="1">
        <v>43.99</v>
      </c>
      <c r="K2205" t="s">
        <v>6</v>
      </c>
    </row>
    <row r="2206" spans="1:11">
      <c r="A2206" t="s">
        <v>2132</v>
      </c>
      <c r="B2206">
        <v>524959</v>
      </c>
      <c r="C2206" s="2" t="str">
        <f>"PL4"</f>
        <v>PL4</v>
      </c>
      <c r="D2206" t="s">
        <v>2240</v>
      </c>
      <c r="E2206" t="s">
        <v>4</v>
      </c>
      <c r="F2206">
        <v>6.98</v>
      </c>
      <c r="H2206" t="s">
        <v>5</v>
      </c>
      <c r="I2206" s="1">
        <v>57.42</v>
      </c>
      <c r="J2206" s="1">
        <v>56.85</v>
      </c>
      <c r="K2206" t="s">
        <v>6</v>
      </c>
    </row>
    <row r="2207" spans="1:11">
      <c r="A2207" t="s">
        <v>2132</v>
      </c>
      <c r="B2207">
        <v>523070</v>
      </c>
      <c r="C2207" s="2" t="str">
        <f>"PL4C"</f>
        <v>PL4C</v>
      </c>
      <c r="D2207" t="s">
        <v>2241</v>
      </c>
      <c r="E2207" t="s">
        <v>4</v>
      </c>
      <c r="F2207">
        <v>8.86</v>
      </c>
      <c r="H2207" t="s">
        <v>5</v>
      </c>
      <c r="I2207" s="1">
        <v>58.28</v>
      </c>
      <c r="J2207" s="1">
        <v>57.71</v>
      </c>
      <c r="K2207" t="s">
        <v>6</v>
      </c>
    </row>
    <row r="2208" spans="1:11">
      <c r="A2208" t="s">
        <v>2132</v>
      </c>
      <c r="B2208">
        <v>540609</v>
      </c>
      <c r="C2208" s="2" t="str">
        <f>"PP3C"</f>
        <v>PP3C</v>
      </c>
      <c r="D2208" t="s">
        <v>2242</v>
      </c>
      <c r="E2208" t="s">
        <v>4</v>
      </c>
      <c r="F2208">
        <v>6.9</v>
      </c>
      <c r="H2208" t="s">
        <v>5</v>
      </c>
      <c r="I2208" s="1">
        <v>20.88</v>
      </c>
      <c r="J2208" s="1">
        <v>20.68</v>
      </c>
      <c r="K2208" t="s">
        <v>6</v>
      </c>
    </row>
    <row r="2209" spans="1:11">
      <c r="A2209" t="s">
        <v>2132</v>
      </c>
      <c r="B2209">
        <v>540719</v>
      </c>
      <c r="C2209" s="2" t="str">
        <f>"PTH51"</f>
        <v>PTH51</v>
      </c>
      <c r="D2209" t="s">
        <v>2243</v>
      </c>
      <c r="E2209" t="s">
        <v>4</v>
      </c>
      <c r="F2209">
        <v>5.3</v>
      </c>
      <c r="H2209" t="s">
        <v>5</v>
      </c>
      <c r="I2209" s="1">
        <v>26.79</v>
      </c>
      <c r="J2209" s="1">
        <v>26.52</v>
      </c>
      <c r="K2209" t="s">
        <v>6</v>
      </c>
    </row>
    <row r="2210" spans="1:11">
      <c r="A2210" t="s">
        <v>2132</v>
      </c>
      <c r="B2210">
        <v>522922</v>
      </c>
      <c r="C2210" s="2" t="str">
        <f>"PTM21"</f>
        <v>PTM21</v>
      </c>
      <c r="D2210" t="s">
        <v>2244</v>
      </c>
      <c r="E2210" t="s">
        <v>4</v>
      </c>
      <c r="F2210">
        <v>5.26</v>
      </c>
      <c r="H2210" t="s">
        <v>5</v>
      </c>
      <c r="I2210" s="1">
        <v>14.59</v>
      </c>
      <c r="J2210" s="1">
        <v>14.44</v>
      </c>
      <c r="K2210" t="s">
        <v>6</v>
      </c>
    </row>
    <row r="2211" spans="1:11">
      <c r="A2211" t="s">
        <v>2132</v>
      </c>
      <c r="B2211">
        <v>523069</v>
      </c>
      <c r="C2211" s="2" t="str">
        <f>"RP1008"</f>
        <v>RP1008</v>
      </c>
      <c r="D2211" t="s">
        <v>2245</v>
      </c>
      <c r="E2211" t="s">
        <v>4</v>
      </c>
      <c r="F2211">
        <v>15.16</v>
      </c>
      <c r="H2211" t="s">
        <v>5</v>
      </c>
      <c r="I2211" s="1">
        <v>23.87</v>
      </c>
      <c r="J2211" s="1">
        <v>23.63</v>
      </c>
      <c r="K2211" t="s">
        <v>6</v>
      </c>
    </row>
    <row r="2212" spans="1:11">
      <c r="A2212" t="s">
        <v>2132</v>
      </c>
      <c r="B2212">
        <v>523067</v>
      </c>
      <c r="C2212" s="2" t="str">
        <f>"RP2008"</f>
        <v>RP2008</v>
      </c>
      <c r="D2212" t="s">
        <v>2246</v>
      </c>
      <c r="E2212" t="s">
        <v>4</v>
      </c>
      <c r="F2212">
        <v>16.739999999999998</v>
      </c>
      <c r="H2212" t="s">
        <v>5</v>
      </c>
      <c r="I2212" s="1">
        <v>27.51</v>
      </c>
      <c r="J2212" s="1">
        <v>27.24</v>
      </c>
      <c r="K2212" t="s">
        <v>6</v>
      </c>
    </row>
    <row r="2213" spans="1:11">
      <c r="A2213" t="s">
        <v>2132</v>
      </c>
      <c r="B2213">
        <v>525046</v>
      </c>
      <c r="C2213" s="2" t="str">
        <f>"RP2508"</f>
        <v>RP2508</v>
      </c>
      <c r="D2213" t="s">
        <v>2247</v>
      </c>
      <c r="E2213" t="s">
        <v>4</v>
      </c>
      <c r="F2213">
        <v>11.56</v>
      </c>
      <c r="H2213" t="s">
        <v>5</v>
      </c>
      <c r="I2213" s="1">
        <v>21.48</v>
      </c>
      <c r="J2213" s="1">
        <v>21.27</v>
      </c>
      <c r="K2213" t="s">
        <v>6</v>
      </c>
    </row>
    <row r="2214" spans="1:11">
      <c r="A2214" t="s">
        <v>2132</v>
      </c>
      <c r="B2214">
        <v>525043</v>
      </c>
      <c r="C2214" s="2" t="str">
        <f>"RP258"</f>
        <v>RP258</v>
      </c>
      <c r="D2214" t="s">
        <v>2248</v>
      </c>
      <c r="E2214" t="s">
        <v>4</v>
      </c>
      <c r="F2214">
        <v>7.53</v>
      </c>
      <c r="H2214" t="s">
        <v>5</v>
      </c>
      <c r="I2214" s="1">
        <v>15.78</v>
      </c>
      <c r="J2214" s="1">
        <v>15.62</v>
      </c>
      <c r="K2214" t="s">
        <v>6</v>
      </c>
    </row>
    <row r="2215" spans="1:11">
      <c r="A2215" t="s">
        <v>2132</v>
      </c>
      <c r="B2215">
        <v>523066</v>
      </c>
      <c r="C2215" s="2" t="str">
        <f>"RP3008"</f>
        <v>RP3008</v>
      </c>
      <c r="D2215" t="s">
        <v>2249</v>
      </c>
      <c r="E2215" t="s">
        <v>4</v>
      </c>
      <c r="F2215">
        <v>13.63</v>
      </c>
      <c r="H2215" t="s">
        <v>5</v>
      </c>
      <c r="I2215" s="1">
        <v>20.62</v>
      </c>
      <c r="J2215" s="1">
        <v>20.420000000000002</v>
      </c>
      <c r="K2215" t="s">
        <v>6</v>
      </c>
    </row>
    <row r="2216" spans="1:11">
      <c r="A2216" t="s">
        <v>2132</v>
      </c>
      <c r="B2216">
        <v>525044</v>
      </c>
      <c r="C2216" s="2" t="str">
        <f>"RP408"</f>
        <v>RP408</v>
      </c>
      <c r="D2216" t="s">
        <v>2250</v>
      </c>
      <c r="E2216" t="s">
        <v>4</v>
      </c>
      <c r="F2216">
        <v>10</v>
      </c>
      <c r="H2216" t="s">
        <v>5</v>
      </c>
      <c r="I2216" s="1">
        <v>19.16</v>
      </c>
      <c r="J2216" s="1">
        <v>18.97</v>
      </c>
      <c r="K2216" t="s">
        <v>6</v>
      </c>
    </row>
    <row r="2217" spans="1:11">
      <c r="A2217" t="s">
        <v>2132</v>
      </c>
      <c r="B2217">
        <v>525045</v>
      </c>
      <c r="C2217" s="2" t="str">
        <f>"RP50"</f>
        <v>RP50</v>
      </c>
      <c r="D2217" t="s">
        <v>2251</v>
      </c>
      <c r="E2217" t="s">
        <v>4</v>
      </c>
      <c r="F2217">
        <v>11</v>
      </c>
      <c r="H2217" t="s">
        <v>5</v>
      </c>
      <c r="I2217" s="1">
        <v>19.760000000000002</v>
      </c>
      <c r="J2217" s="1">
        <v>19.559999999999999</v>
      </c>
      <c r="K2217" t="s">
        <v>6</v>
      </c>
    </row>
    <row r="2218" spans="1:11">
      <c r="A2218" t="s">
        <v>2132</v>
      </c>
      <c r="B2218">
        <v>522958</v>
      </c>
      <c r="C2218" s="2" t="str">
        <f>"RP500"</f>
        <v>RP500</v>
      </c>
      <c r="D2218" t="s">
        <v>2252</v>
      </c>
      <c r="E2218" t="s">
        <v>4</v>
      </c>
      <c r="F2218">
        <v>17.84</v>
      </c>
      <c r="H2218" t="s">
        <v>5</v>
      </c>
      <c r="I2218" s="1">
        <v>28.77</v>
      </c>
      <c r="J2218" s="1">
        <v>28.49</v>
      </c>
      <c r="K2218" t="s">
        <v>6</v>
      </c>
    </row>
    <row r="2219" spans="1:11">
      <c r="A2219" t="s">
        <v>2132</v>
      </c>
      <c r="B2219">
        <v>523016</v>
      </c>
      <c r="C2219" s="2" t="str">
        <f>"RW106"</f>
        <v>RW106</v>
      </c>
      <c r="D2219" t="s">
        <v>2253</v>
      </c>
      <c r="E2219" t="s">
        <v>4</v>
      </c>
      <c r="F2219">
        <v>28.45</v>
      </c>
      <c r="H2219" t="s">
        <v>5</v>
      </c>
      <c r="I2219" s="1">
        <v>52.64</v>
      </c>
      <c r="J2219" s="1">
        <v>52.13</v>
      </c>
      <c r="K2219" t="s">
        <v>6</v>
      </c>
    </row>
    <row r="2220" spans="1:11">
      <c r="A2220" t="s">
        <v>2132</v>
      </c>
      <c r="B2220">
        <v>523019</v>
      </c>
      <c r="C2220" s="2" t="str">
        <f>"RW126"</f>
        <v>RW126</v>
      </c>
      <c r="D2220" t="s">
        <v>2254</v>
      </c>
      <c r="E2220" t="s">
        <v>4</v>
      </c>
      <c r="F2220">
        <v>34.61</v>
      </c>
      <c r="H2220" t="s">
        <v>5</v>
      </c>
      <c r="I2220" s="1">
        <v>60.73</v>
      </c>
      <c r="J2220" s="1">
        <v>60.14</v>
      </c>
      <c r="K2220" t="s">
        <v>6</v>
      </c>
    </row>
    <row r="2221" spans="1:11">
      <c r="A2221" t="s">
        <v>2132</v>
      </c>
      <c r="B2221">
        <v>523021</v>
      </c>
      <c r="C2221" s="2" t="str">
        <f>"RW156"</f>
        <v>RW156</v>
      </c>
      <c r="D2221" t="s">
        <v>2255</v>
      </c>
      <c r="E2221" t="s">
        <v>4</v>
      </c>
      <c r="F2221">
        <v>42.63</v>
      </c>
      <c r="H2221" t="s">
        <v>5</v>
      </c>
      <c r="I2221" s="1">
        <v>72.86</v>
      </c>
      <c r="J2221" s="1">
        <v>72.150000000000006</v>
      </c>
      <c r="K2221" t="s">
        <v>6</v>
      </c>
    </row>
    <row r="2222" spans="1:11">
      <c r="A2222" t="s">
        <v>2132</v>
      </c>
      <c r="B2222">
        <v>540792</v>
      </c>
      <c r="C2222" s="2" t="str">
        <f>"RW66"</f>
        <v>RW66</v>
      </c>
      <c r="D2222" t="s">
        <v>2256</v>
      </c>
      <c r="E2222" t="s">
        <v>4</v>
      </c>
      <c r="F2222">
        <v>16</v>
      </c>
      <c r="H2222" t="s">
        <v>5</v>
      </c>
      <c r="I2222" s="1">
        <v>38.979999999999997</v>
      </c>
      <c r="J2222" s="1">
        <v>38.6</v>
      </c>
      <c r="K2222" t="s">
        <v>6</v>
      </c>
    </row>
    <row r="2223" spans="1:11">
      <c r="A2223" t="s">
        <v>2132</v>
      </c>
      <c r="B2223">
        <v>523015</v>
      </c>
      <c r="C2223" s="2" t="str">
        <f>"RW86"</f>
        <v>RW86</v>
      </c>
      <c r="D2223" t="s">
        <v>2257</v>
      </c>
      <c r="E2223" t="s">
        <v>4</v>
      </c>
      <c r="F2223">
        <v>22</v>
      </c>
      <c r="H2223" t="s">
        <v>5</v>
      </c>
      <c r="I2223" s="1">
        <v>40.51</v>
      </c>
      <c r="J2223" s="1">
        <v>40.11</v>
      </c>
      <c r="K2223" t="s">
        <v>6</v>
      </c>
    </row>
    <row r="2224" spans="1:11">
      <c r="A2224" t="s">
        <v>2132</v>
      </c>
      <c r="B2224">
        <v>523081</v>
      </c>
      <c r="C2224" s="2" t="str">
        <f>"S-8"</f>
        <v>S-8</v>
      </c>
      <c r="D2224" t="s">
        <v>2258</v>
      </c>
      <c r="E2224" t="s">
        <v>4</v>
      </c>
      <c r="F2224">
        <v>17.100000000000001</v>
      </c>
      <c r="H2224" t="s">
        <v>5</v>
      </c>
      <c r="I2224" s="1">
        <v>50.72</v>
      </c>
      <c r="J2224" s="1">
        <v>50.22</v>
      </c>
      <c r="K2224" t="s">
        <v>6</v>
      </c>
    </row>
    <row r="2225" spans="1:11">
      <c r="A2225" t="s">
        <v>2132</v>
      </c>
      <c r="B2225">
        <v>522942</v>
      </c>
      <c r="C2225" s="2" t="str">
        <f>"SC001"</f>
        <v>SC001</v>
      </c>
      <c r="D2225" t="s">
        <v>2259</v>
      </c>
      <c r="E2225" t="s">
        <v>4</v>
      </c>
      <c r="F2225">
        <v>23.2</v>
      </c>
      <c r="H2225" t="s">
        <v>5</v>
      </c>
      <c r="I2225" s="1">
        <v>152.41999999999999</v>
      </c>
      <c r="J2225" s="1">
        <v>150.93</v>
      </c>
      <c r="K2225" t="s">
        <v>6</v>
      </c>
    </row>
    <row r="2226" spans="1:11">
      <c r="A2226" t="s">
        <v>2132</v>
      </c>
      <c r="B2226">
        <v>540612</v>
      </c>
      <c r="C2226" s="2" t="str">
        <f>"SC003"</f>
        <v>SC003</v>
      </c>
      <c r="D2226" t="s">
        <v>2260</v>
      </c>
      <c r="E2226" t="s">
        <v>4</v>
      </c>
      <c r="F2226">
        <v>18</v>
      </c>
      <c r="H2226" t="s">
        <v>5</v>
      </c>
      <c r="I2226" s="1">
        <v>93.62</v>
      </c>
      <c r="J2226" s="1">
        <v>92.7</v>
      </c>
      <c r="K2226" t="s">
        <v>6</v>
      </c>
    </row>
    <row r="2227" spans="1:11">
      <c r="A2227" t="s">
        <v>2132</v>
      </c>
      <c r="B2227">
        <v>540613</v>
      </c>
      <c r="C2227" s="2" t="str">
        <f>"SH117"</f>
        <v>SH117</v>
      </c>
      <c r="D2227" t="s">
        <v>2261</v>
      </c>
      <c r="E2227" t="s">
        <v>4</v>
      </c>
      <c r="F2227">
        <v>11.42</v>
      </c>
      <c r="H2227" t="s">
        <v>5</v>
      </c>
      <c r="I2227" s="1">
        <v>26.52</v>
      </c>
      <c r="J2227" s="1">
        <v>26.26</v>
      </c>
      <c r="K2227" t="s">
        <v>6</v>
      </c>
    </row>
    <row r="2228" spans="1:11">
      <c r="A2228" t="s">
        <v>2132</v>
      </c>
      <c r="B2228">
        <v>540615</v>
      </c>
      <c r="C2228" s="2" t="str">
        <f>"SH217"</f>
        <v>SH217</v>
      </c>
      <c r="D2228" t="s">
        <v>2262</v>
      </c>
      <c r="E2228" t="s">
        <v>4</v>
      </c>
      <c r="F2228">
        <v>11.42</v>
      </c>
      <c r="H2228" t="s">
        <v>5</v>
      </c>
      <c r="I2228" s="1">
        <v>26.52</v>
      </c>
      <c r="J2228" s="1">
        <v>26.26</v>
      </c>
      <c r="K2228" t="s">
        <v>6</v>
      </c>
    </row>
    <row r="2229" spans="1:11">
      <c r="A2229" t="s">
        <v>2132</v>
      </c>
      <c r="B2229">
        <v>523086</v>
      </c>
      <c r="C2229" s="2" t="str">
        <f>"SH517"</f>
        <v>SH517</v>
      </c>
      <c r="D2229" t="s">
        <v>2263</v>
      </c>
      <c r="E2229" t="s">
        <v>4</v>
      </c>
      <c r="F2229">
        <v>11.38</v>
      </c>
      <c r="H2229" t="s">
        <v>5</v>
      </c>
      <c r="I2229" s="1">
        <v>26.52</v>
      </c>
      <c r="J2229" s="1">
        <v>26.26</v>
      </c>
      <c r="K2229" t="s">
        <v>6</v>
      </c>
    </row>
    <row r="2230" spans="1:11">
      <c r="A2230" t="s">
        <v>2132</v>
      </c>
      <c r="B2230">
        <v>540619</v>
      </c>
      <c r="C2230" s="2" t="str">
        <f>"SM117"</f>
        <v>SM117</v>
      </c>
      <c r="D2230" t="s">
        <v>2264</v>
      </c>
      <c r="E2230" t="s">
        <v>4</v>
      </c>
      <c r="F2230">
        <v>7.23</v>
      </c>
      <c r="H2230" t="s">
        <v>5</v>
      </c>
      <c r="I2230" s="1">
        <v>20.88</v>
      </c>
      <c r="J2230" s="1">
        <v>20.68</v>
      </c>
      <c r="K2230" t="s">
        <v>6</v>
      </c>
    </row>
    <row r="2231" spans="1:11">
      <c r="A2231" t="s">
        <v>2132</v>
      </c>
      <c r="B2231">
        <v>523088</v>
      </c>
      <c r="C2231" s="2" t="str">
        <f>"SM217"</f>
        <v>SM217</v>
      </c>
      <c r="D2231" t="s">
        <v>2265</v>
      </c>
      <c r="E2231" t="s">
        <v>4</v>
      </c>
      <c r="F2231">
        <v>7.23</v>
      </c>
      <c r="H2231" t="s">
        <v>5</v>
      </c>
      <c r="I2231" s="1">
        <v>20.88</v>
      </c>
      <c r="J2231" s="1">
        <v>20.68</v>
      </c>
      <c r="K2231" t="s">
        <v>6</v>
      </c>
    </row>
    <row r="2232" spans="1:11">
      <c r="A2232" t="s">
        <v>2132</v>
      </c>
      <c r="B2232">
        <v>523089</v>
      </c>
      <c r="C2232" s="2" t="str">
        <f>"SM517"</f>
        <v>SM517</v>
      </c>
      <c r="D2232" t="s">
        <v>2266</v>
      </c>
      <c r="E2232" t="s">
        <v>4</v>
      </c>
      <c r="F2232">
        <v>7.23</v>
      </c>
      <c r="H2232" t="s">
        <v>5</v>
      </c>
      <c r="I2232" s="1">
        <v>20.88</v>
      </c>
      <c r="J2232" s="1">
        <v>20.68</v>
      </c>
      <c r="K2232" t="s">
        <v>6</v>
      </c>
    </row>
    <row r="2233" spans="1:11">
      <c r="A2233" t="s">
        <v>2132</v>
      </c>
      <c r="B2233">
        <v>541344</v>
      </c>
      <c r="C2233" s="2" t="str">
        <f>"SSF21P"</f>
        <v>SSF21P</v>
      </c>
      <c r="D2233" t="s">
        <v>2267</v>
      </c>
      <c r="E2233" t="s">
        <v>4</v>
      </c>
      <c r="F2233">
        <v>5.08</v>
      </c>
      <c r="H2233" t="s">
        <v>5</v>
      </c>
      <c r="I2233" s="1">
        <v>27.32</v>
      </c>
      <c r="J2233" s="1">
        <v>27.05</v>
      </c>
      <c r="K2233" t="s">
        <v>6</v>
      </c>
    </row>
    <row r="2234" spans="1:11">
      <c r="A2234" t="s">
        <v>2132</v>
      </c>
      <c r="B2234">
        <v>522947</v>
      </c>
      <c r="C2234" s="2" t="str">
        <f>"SSF51"</f>
        <v>SSF51</v>
      </c>
      <c r="D2234" t="s">
        <v>2268</v>
      </c>
      <c r="E2234" t="s">
        <v>4</v>
      </c>
      <c r="F2234">
        <v>8.39</v>
      </c>
      <c r="H2234" t="s">
        <v>5</v>
      </c>
      <c r="I2234" s="1">
        <v>33.880000000000003</v>
      </c>
      <c r="J2234" s="1">
        <v>33.549999999999997</v>
      </c>
      <c r="K2234" t="s">
        <v>6</v>
      </c>
    </row>
    <row r="2235" spans="1:11">
      <c r="A2235" t="s">
        <v>2132</v>
      </c>
      <c r="B2235">
        <v>544703</v>
      </c>
      <c r="C2235" s="2" t="str">
        <f>"SSK21P"</f>
        <v>SSK21P</v>
      </c>
      <c r="D2235" t="s">
        <v>2269</v>
      </c>
      <c r="E2235" t="s">
        <v>4</v>
      </c>
      <c r="F2235">
        <v>5.59</v>
      </c>
      <c r="H2235" t="s">
        <v>5</v>
      </c>
      <c r="I2235" s="1">
        <v>27.32</v>
      </c>
      <c r="J2235" s="1">
        <v>27.05</v>
      </c>
      <c r="K2235" t="s">
        <v>6</v>
      </c>
    </row>
    <row r="2236" spans="1:11">
      <c r="A2236" t="s">
        <v>2132</v>
      </c>
      <c r="B2236">
        <v>522950</v>
      </c>
      <c r="C2236" s="2" t="str">
        <f>"SSK51"</f>
        <v>SSK51</v>
      </c>
      <c r="D2236" t="s">
        <v>2270</v>
      </c>
      <c r="E2236" t="s">
        <v>4</v>
      </c>
      <c r="F2236">
        <v>8.6</v>
      </c>
      <c r="H2236" t="s">
        <v>5</v>
      </c>
      <c r="I2236" s="1">
        <v>33.880000000000003</v>
      </c>
      <c r="J2236" s="1">
        <v>33.549999999999997</v>
      </c>
      <c r="K2236" t="s">
        <v>6</v>
      </c>
    </row>
    <row r="2237" spans="1:11">
      <c r="A2237" t="s">
        <v>2132</v>
      </c>
      <c r="B2237">
        <v>544704</v>
      </c>
      <c r="C2237" s="2" t="str">
        <f>"SSS21P"</f>
        <v>SSS21P</v>
      </c>
      <c r="D2237" t="s">
        <v>2271</v>
      </c>
      <c r="E2237" t="s">
        <v>4</v>
      </c>
      <c r="F2237">
        <v>5.04</v>
      </c>
      <c r="H2237" t="s">
        <v>5</v>
      </c>
      <c r="I2237" s="1">
        <v>27.32</v>
      </c>
      <c r="J2237" s="1">
        <v>27.05</v>
      </c>
      <c r="K2237" t="s">
        <v>6</v>
      </c>
    </row>
    <row r="2238" spans="1:11">
      <c r="A2238" t="s">
        <v>2132</v>
      </c>
      <c r="B2238">
        <v>522952</v>
      </c>
      <c r="C2238" s="2" t="str">
        <f>"SSS51"</f>
        <v>SSS51</v>
      </c>
      <c r="D2238" t="s">
        <v>2272</v>
      </c>
      <c r="E2238" t="s">
        <v>4</v>
      </c>
      <c r="F2238">
        <v>7.93</v>
      </c>
      <c r="H2238" t="s">
        <v>5</v>
      </c>
      <c r="I2238" s="1">
        <v>33.880000000000003</v>
      </c>
      <c r="J2238" s="1">
        <v>33.549999999999997</v>
      </c>
      <c r="K2238" t="s">
        <v>6</v>
      </c>
    </row>
    <row r="2239" spans="1:11">
      <c r="A2239" t="s">
        <v>2132</v>
      </c>
      <c r="B2239">
        <v>540739</v>
      </c>
      <c r="C2239" s="2" t="str">
        <f>"SUPLOX15"</f>
        <v>SUPLOX15</v>
      </c>
      <c r="D2239" t="s">
        <v>2273</v>
      </c>
      <c r="E2239" t="s">
        <v>4</v>
      </c>
      <c r="F2239">
        <v>22</v>
      </c>
      <c r="H2239" t="s">
        <v>5</v>
      </c>
      <c r="I2239" s="1">
        <v>43.63</v>
      </c>
      <c r="J2239" s="1">
        <v>43.2</v>
      </c>
      <c r="K2239" t="s">
        <v>6</v>
      </c>
    </row>
    <row r="2240" spans="1:11">
      <c r="A2240" t="s">
        <v>2132</v>
      </c>
      <c r="B2240">
        <v>546717</v>
      </c>
      <c r="C2240" s="2" t="str">
        <f>"SX12PATH"</f>
        <v>SX12PATH</v>
      </c>
      <c r="D2240" t="s">
        <v>2274</v>
      </c>
      <c r="E2240" t="s">
        <v>4</v>
      </c>
      <c r="F2240">
        <v>23.43</v>
      </c>
      <c r="H2240" t="s">
        <v>5</v>
      </c>
      <c r="I2240" s="1">
        <v>77.77</v>
      </c>
      <c r="J2240" s="1">
        <v>77.010000000000005</v>
      </c>
      <c r="K2240" t="s">
        <v>6</v>
      </c>
    </row>
    <row r="2241" spans="1:11">
      <c r="A2241" t="s">
        <v>2132</v>
      </c>
      <c r="B2241">
        <v>546719</v>
      </c>
      <c r="C2241" s="2" t="str">
        <f>"SX6PATH"</f>
        <v>SX6PATH</v>
      </c>
      <c r="D2241" t="s">
        <v>2275</v>
      </c>
      <c r="E2241" t="s">
        <v>4</v>
      </c>
      <c r="F2241">
        <v>11.97</v>
      </c>
      <c r="H2241" t="s">
        <v>5</v>
      </c>
      <c r="I2241" s="1">
        <v>37.26</v>
      </c>
      <c r="J2241" s="1">
        <v>36.9</v>
      </c>
      <c r="K2241" t="s">
        <v>6</v>
      </c>
    </row>
    <row r="2242" spans="1:11">
      <c r="A2242" t="s">
        <v>2132</v>
      </c>
      <c r="B2242">
        <v>546751</v>
      </c>
      <c r="C2242" s="2" t="str">
        <f>"SXP10PATH"</f>
        <v>SXP10PATH</v>
      </c>
      <c r="D2242" t="s">
        <v>2276</v>
      </c>
      <c r="E2242" t="s">
        <v>4</v>
      </c>
      <c r="F2242">
        <v>25.88</v>
      </c>
      <c r="H2242" t="s">
        <v>5</v>
      </c>
      <c r="I2242" s="1">
        <v>79.36</v>
      </c>
      <c r="J2242" s="1">
        <v>78.58</v>
      </c>
      <c r="K2242" t="s">
        <v>6</v>
      </c>
    </row>
    <row r="2243" spans="1:11">
      <c r="A2243" t="s">
        <v>2132</v>
      </c>
      <c r="B2243">
        <v>546753</v>
      </c>
      <c r="C2243" s="2" t="str">
        <f>"SXP9PATH"</f>
        <v>SXP9PATH</v>
      </c>
      <c r="D2243" t="s">
        <v>2277</v>
      </c>
      <c r="E2243" t="s">
        <v>4</v>
      </c>
      <c r="F2243">
        <v>17.350000000000001</v>
      </c>
      <c r="H2243" t="s">
        <v>5</v>
      </c>
      <c r="I2243" s="1">
        <v>59.54</v>
      </c>
      <c r="J2243" s="1">
        <v>58.95</v>
      </c>
      <c r="K2243" t="s">
        <v>6</v>
      </c>
    </row>
    <row r="2244" spans="1:11">
      <c r="A2244" t="s">
        <v>2132</v>
      </c>
      <c r="B2244">
        <v>523075</v>
      </c>
      <c r="C2244" s="2" t="str">
        <f>"T6"</f>
        <v>T6</v>
      </c>
      <c r="D2244" t="s">
        <v>2278</v>
      </c>
      <c r="E2244" t="s">
        <v>4</v>
      </c>
      <c r="F2244">
        <v>18.5</v>
      </c>
      <c r="H2244" t="s">
        <v>5</v>
      </c>
      <c r="I2244" s="1">
        <v>46.28</v>
      </c>
      <c r="J2244" s="1">
        <v>45.82</v>
      </c>
      <c r="K2244" t="s">
        <v>6</v>
      </c>
    </row>
    <row r="2245" spans="1:11">
      <c r="A2245" t="s">
        <v>2132</v>
      </c>
      <c r="B2245">
        <v>540633</v>
      </c>
      <c r="C2245" s="2" t="str">
        <f>"TB9542"</f>
        <v>TB9542</v>
      </c>
      <c r="D2245" t="s">
        <v>2279</v>
      </c>
      <c r="E2245" t="s">
        <v>4</v>
      </c>
      <c r="F2245">
        <v>5.85</v>
      </c>
      <c r="H2245" t="s">
        <v>5</v>
      </c>
      <c r="I2245" s="1">
        <v>40.44</v>
      </c>
      <c r="J2245" s="1">
        <v>40.049999999999997</v>
      </c>
      <c r="K2245" t="s">
        <v>6</v>
      </c>
    </row>
    <row r="2246" spans="1:11">
      <c r="A2246" t="s">
        <v>2132</v>
      </c>
      <c r="B2246">
        <v>525446</v>
      </c>
      <c r="C2246" s="2" t="str">
        <f>"TH217"</f>
        <v>TH217</v>
      </c>
      <c r="D2246" t="s">
        <v>2280</v>
      </c>
      <c r="E2246" t="s">
        <v>4</v>
      </c>
      <c r="F2246">
        <v>8.7100000000000009</v>
      </c>
      <c r="H2246" t="s">
        <v>5</v>
      </c>
      <c r="I2246" s="1">
        <v>26.52</v>
      </c>
      <c r="J2246" s="1">
        <v>26.26</v>
      </c>
      <c r="K2246" t="s">
        <v>6</v>
      </c>
    </row>
    <row r="2247" spans="1:11">
      <c r="A2247" t="s">
        <v>2132</v>
      </c>
      <c r="B2247">
        <v>523077</v>
      </c>
      <c r="C2247" s="2" t="str">
        <f>"TH517"</f>
        <v>TH517</v>
      </c>
      <c r="D2247" t="s">
        <v>2281</v>
      </c>
      <c r="E2247" t="s">
        <v>4</v>
      </c>
      <c r="F2247">
        <v>8.7100000000000009</v>
      </c>
      <c r="H2247" t="s">
        <v>5</v>
      </c>
      <c r="I2247" s="1">
        <v>26.52</v>
      </c>
      <c r="J2247" s="1">
        <v>26.26</v>
      </c>
      <c r="K2247" t="s">
        <v>6</v>
      </c>
    </row>
    <row r="2248" spans="1:11">
      <c r="A2248" t="s">
        <v>2132</v>
      </c>
      <c r="B2248">
        <v>525500</v>
      </c>
      <c r="C2248" s="2" t="str">
        <f>"TM117"</f>
        <v>TM117</v>
      </c>
      <c r="D2248" t="s">
        <v>2282</v>
      </c>
      <c r="E2248" t="s">
        <v>4</v>
      </c>
      <c r="F2248">
        <v>7.14</v>
      </c>
      <c r="H2248" t="s">
        <v>5</v>
      </c>
      <c r="I2248" s="1">
        <v>20.88</v>
      </c>
      <c r="J2248" s="1">
        <v>20.68</v>
      </c>
      <c r="K2248" t="s">
        <v>6</v>
      </c>
    </row>
    <row r="2249" spans="1:11">
      <c r="A2249" t="s">
        <v>2132</v>
      </c>
      <c r="B2249">
        <v>523078</v>
      </c>
      <c r="C2249" s="2" t="str">
        <f>"TM217"</f>
        <v>TM217</v>
      </c>
      <c r="D2249" t="s">
        <v>2283</v>
      </c>
      <c r="E2249" t="s">
        <v>4</v>
      </c>
      <c r="F2249">
        <v>7.14</v>
      </c>
      <c r="H2249" t="s">
        <v>5</v>
      </c>
      <c r="I2249" s="1">
        <v>20.88</v>
      </c>
      <c r="J2249" s="1">
        <v>20.68</v>
      </c>
      <c r="K2249" t="s">
        <v>6</v>
      </c>
    </row>
    <row r="2250" spans="1:11">
      <c r="A2250" t="s">
        <v>2132</v>
      </c>
      <c r="B2250">
        <v>523079</v>
      </c>
      <c r="C2250" s="2" t="str">
        <f>"TM517"</f>
        <v>TM517</v>
      </c>
      <c r="D2250" t="s">
        <v>2284</v>
      </c>
      <c r="E2250" t="s">
        <v>4</v>
      </c>
      <c r="F2250">
        <v>7.14</v>
      </c>
      <c r="H2250" t="s">
        <v>5</v>
      </c>
      <c r="I2250" s="1">
        <v>20.88</v>
      </c>
      <c r="J2250" s="1">
        <v>20.68</v>
      </c>
      <c r="K2250" t="s">
        <v>6</v>
      </c>
    </row>
    <row r="2251" spans="1:11">
      <c r="A2251" t="s">
        <v>2132</v>
      </c>
      <c r="B2251">
        <v>540640</v>
      </c>
      <c r="C2251" s="2" t="str">
        <f>"TP9542"</f>
        <v>TP9542</v>
      </c>
      <c r="D2251" t="s">
        <v>2285</v>
      </c>
      <c r="E2251" t="s">
        <v>4</v>
      </c>
      <c r="F2251">
        <v>9.59</v>
      </c>
      <c r="H2251" t="s">
        <v>5</v>
      </c>
      <c r="I2251" s="1">
        <v>85.92</v>
      </c>
      <c r="J2251" s="1">
        <v>85.08</v>
      </c>
      <c r="K2251" t="s">
        <v>6</v>
      </c>
    </row>
    <row r="2252" spans="1:11">
      <c r="A2252" t="s">
        <v>2132</v>
      </c>
      <c r="B2252">
        <v>525448</v>
      </c>
      <c r="C2252" s="2" t="str">
        <f>"TP9542B"</f>
        <v>TP9542B</v>
      </c>
      <c r="D2252" t="s">
        <v>2286</v>
      </c>
      <c r="E2252" t="s">
        <v>4</v>
      </c>
      <c r="F2252">
        <v>9.59</v>
      </c>
      <c r="H2252" t="s">
        <v>5</v>
      </c>
      <c r="I2252" s="1">
        <v>87.65</v>
      </c>
      <c r="J2252" s="1">
        <v>86.79</v>
      </c>
      <c r="K2252" t="s">
        <v>6</v>
      </c>
    </row>
    <row r="2253" spans="1:11">
      <c r="A2253" t="s">
        <v>2132</v>
      </c>
      <c r="B2253">
        <v>540641</v>
      </c>
      <c r="C2253" s="2" t="str">
        <f>"TP9550"</f>
        <v>TP9550</v>
      </c>
      <c r="D2253" t="s">
        <v>2287</v>
      </c>
      <c r="E2253" t="s">
        <v>4</v>
      </c>
      <c r="F2253">
        <v>11.28</v>
      </c>
      <c r="H2253" t="s">
        <v>5</v>
      </c>
      <c r="I2253" s="1">
        <v>91.1</v>
      </c>
      <c r="J2253" s="1">
        <v>90.2</v>
      </c>
      <c r="K2253" t="s">
        <v>6</v>
      </c>
    </row>
    <row r="2254" spans="1:11">
      <c r="A2254" t="s">
        <v>2132</v>
      </c>
      <c r="B2254">
        <v>546724</v>
      </c>
      <c r="C2254" s="2" t="str">
        <f>"UX6PATH"</f>
        <v>UX6PATH</v>
      </c>
      <c r="D2254" t="s">
        <v>2288</v>
      </c>
      <c r="E2254" t="s">
        <v>4</v>
      </c>
      <c r="F2254">
        <v>10.85</v>
      </c>
      <c r="H2254" t="s">
        <v>5</v>
      </c>
      <c r="I2254" s="1">
        <v>42.96</v>
      </c>
      <c r="J2254" s="1">
        <v>42.54</v>
      </c>
      <c r="K2254" t="s">
        <v>6</v>
      </c>
    </row>
    <row r="2255" spans="1:11">
      <c r="A2255" t="s">
        <v>2132</v>
      </c>
      <c r="B2255">
        <v>546726</v>
      </c>
      <c r="C2255" s="2" t="str">
        <f>"UX7PATH"</f>
        <v>UX7PATH</v>
      </c>
      <c r="D2255" t="s">
        <v>2289</v>
      </c>
      <c r="E2255" t="s">
        <v>4</v>
      </c>
      <c r="F2255">
        <v>16.87</v>
      </c>
      <c r="H2255" t="s">
        <v>5</v>
      </c>
      <c r="I2255" s="1">
        <v>50.19</v>
      </c>
      <c r="J2255" s="1">
        <v>49.7</v>
      </c>
      <c r="K2255" t="s">
        <v>6</v>
      </c>
    </row>
    <row r="2256" spans="1:11">
      <c r="A2256" t="s">
        <v>2132</v>
      </c>
      <c r="B2256">
        <v>546728</v>
      </c>
      <c r="C2256" s="2" t="str">
        <f>"UX9PATH"</f>
        <v>UX9PATH</v>
      </c>
      <c r="D2256" t="s">
        <v>2290</v>
      </c>
      <c r="E2256" t="s">
        <v>4</v>
      </c>
      <c r="F2256">
        <v>27.1</v>
      </c>
      <c r="H2256" t="s">
        <v>5</v>
      </c>
      <c r="I2256" s="1">
        <v>80.95</v>
      </c>
      <c r="J2256" s="1">
        <v>80.16</v>
      </c>
      <c r="K2256" t="s">
        <v>6</v>
      </c>
    </row>
    <row r="2257" spans="1:12">
      <c r="A2257" t="s">
        <v>2291</v>
      </c>
      <c r="B2257">
        <v>426531</v>
      </c>
      <c r="C2257" s="2" t="str">
        <f>"11000"</f>
        <v>11000</v>
      </c>
      <c r="D2257" t="s">
        <v>2292</v>
      </c>
      <c r="E2257" t="s">
        <v>4</v>
      </c>
      <c r="F2257">
        <v>7.3</v>
      </c>
      <c r="H2257" t="s">
        <v>5</v>
      </c>
      <c r="I2257" s="1">
        <v>113.98</v>
      </c>
      <c r="J2257" s="1">
        <v>108.55</v>
      </c>
      <c r="K2257" t="s">
        <v>6</v>
      </c>
    </row>
    <row r="2258" spans="1:12">
      <c r="A2258" t="s">
        <v>2291</v>
      </c>
      <c r="B2258">
        <v>368686</v>
      </c>
      <c r="C2258" s="2" t="str">
        <f>"11100"</f>
        <v>11100</v>
      </c>
      <c r="D2258" t="s">
        <v>2293</v>
      </c>
      <c r="E2258" t="s">
        <v>4</v>
      </c>
      <c r="F2258">
        <v>9</v>
      </c>
      <c r="H2258" t="s">
        <v>5</v>
      </c>
      <c r="I2258" s="1">
        <v>126.95</v>
      </c>
      <c r="J2258" s="1">
        <v>120.9</v>
      </c>
      <c r="K2258" t="s">
        <v>6</v>
      </c>
    </row>
    <row r="2259" spans="1:12">
      <c r="A2259" t="s">
        <v>2291</v>
      </c>
      <c r="B2259">
        <v>379156</v>
      </c>
      <c r="C2259" s="2" t="str">
        <f>"12100"</f>
        <v>12100</v>
      </c>
      <c r="D2259" t="s">
        <v>2294</v>
      </c>
      <c r="E2259" t="s">
        <v>4</v>
      </c>
      <c r="F2259">
        <v>5</v>
      </c>
      <c r="H2259" t="s">
        <v>5</v>
      </c>
      <c r="I2259" s="1">
        <v>102.38</v>
      </c>
      <c r="J2259" s="1">
        <v>97.5</v>
      </c>
      <c r="K2259" t="s">
        <v>6</v>
      </c>
    </row>
    <row r="2260" spans="1:12">
      <c r="A2260" t="s">
        <v>2291</v>
      </c>
      <c r="B2260">
        <v>370006</v>
      </c>
      <c r="C2260" s="2" t="str">
        <f>"23100"</f>
        <v>23100</v>
      </c>
      <c r="D2260" t="s">
        <v>2295</v>
      </c>
      <c r="E2260" t="s">
        <v>4</v>
      </c>
      <c r="F2260">
        <v>14</v>
      </c>
      <c r="H2260" t="s">
        <v>5</v>
      </c>
      <c r="I2260" s="1">
        <v>760.99</v>
      </c>
      <c r="J2260" s="1">
        <v>724.75</v>
      </c>
      <c r="K2260" t="s">
        <v>6</v>
      </c>
    </row>
    <row r="2261" spans="1:12">
      <c r="A2261" t="s">
        <v>2291</v>
      </c>
      <c r="B2261">
        <v>370033</v>
      </c>
      <c r="C2261" s="2" t="str">
        <f>"266"</f>
        <v>266</v>
      </c>
      <c r="D2261" t="s">
        <v>2296</v>
      </c>
      <c r="E2261" t="s">
        <v>4</v>
      </c>
      <c r="F2261">
        <v>16</v>
      </c>
      <c r="H2261" t="s">
        <v>5</v>
      </c>
      <c r="I2261" s="1">
        <v>733.69</v>
      </c>
      <c r="J2261" s="1">
        <v>698.75</v>
      </c>
      <c r="K2261" t="s">
        <v>6</v>
      </c>
    </row>
    <row r="2262" spans="1:12">
      <c r="A2262" t="s">
        <v>2291</v>
      </c>
      <c r="B2262">
        <v>379454</v>
      </c>
      <c r="C2262" s="2" t="str">
        <f>"34410"</f>
        <v>34410</v>
      </c>
      <c r="D2262" t="s">
        <v>2297</v>
      </c>
      <c r="E2262" t="s">
        <v>4</v>
      </c>
      <c r="F2262">
        <v>3.96</v>
      </c>
      <c r="G2262">
        <v>0.33</v>
      </c>
      <c r="H2262" t="s">
        <v>106</v>
      </c>
      <c r="I2262" s="1">
        <v>7.75</v>
      </c>
      <c r="J2262" s="1">
        <v>7.38</v>
      </c>
      <c r="K2262" t="s">
        <v>457</v>
      </c>
      <c r="L2262" s="1">
        <v>8.1199999999999992</v>
      </c>
    </row>
    <row r="2263" spans="1:12">
      <c r="A2263" t="s">
        <v>2291</v>
      </c>
      <c r="B2263">
        <v>459648</v>
      </c>
      <c r="C2263" s="2" t="str">
        <f>"34510"</f>
        <v>34510</v>
      </c>
      <c r="D2263" t="s">
        <v>2298</v>
      </c>
      <c r="E2263" t="s">
        <v>4</v>
      </c>
      <c r="F2263">
        <v>6.48</v>
      </c>
      <c r="G2263">
        <v>0.54</v>
      </c>
      <c r="H2263" t="s">
        <v>106</v>
      </c>
      <c r="I2263" s="1">
        <v>9.6999999999999993</v>
      </c>
      <c r="J2263" s="1">
        <v>9.23</v>
      </c>
      <c r="K2263" t="s">
        <v>21</v>
      </c>
      <c r="L2263" s="1">
        <v>10.15</v>
      </c>
    </row>
    <row r="2264" spans="1:12">
      <c r="A2264" t="s">
        <v>2291</v>
      </c>
      <c r="B2264">
        <v>369994</v>
      </c>
      <c r="C2264" s="2" t="str">
        <f>"39600"</f>
        <v>39600</v>
      </c>
      <c r="D2264" t="s">
        <v>2299</v>
      </c>
      <c r="E2264" t="s">
        <v>4</v>
      </c>
      <c r="F2264">
        <v>11</v>
      </c>
      <c r="H2264" t="s">
        <v>5</v>
      </c>
      <c r="I2264" s="1">
        <v>467.51</v>
      </c>
      <c r="J2264" s="1">
        <v>445.25</v>
      </c>
      <c r="K2264" t="s">
        <v>6</v>
      </c>
    </row>
    <row r="2265" spans="1:12">
      <c r="A2265" t="s">
        <v>2291</v>
      </c>
      <c r="B2265">
        <v>379453</v>
      </c>
      <c r="C2265" s="2" t="str">
        <f>"4409HD/34610"</f>
        <v>4409HD/34610</v>
      </c>
      <c r="D2265" t="s">
        <v>2300</v>
      </c>
      <c r="E2265" t="s">
        <v>4</v>
      </c>
      <c r="F2265">
        <v>3.48</v>
      </c>
      <c r="G2265">
        <v>0.28999999999999998</v>
      </c>
      <c r="H2265" t="s">
        <v>106</v>
      </c>
      <c r="I2265" s="1">
        <v>6.86</v>
      </c>
      <c r="J2265" s="1">
        <v>6.53</v>
      </c>
      <c r="K2265" t="s">
        <v>457</v>
      </c>
      <c r="L2265" s="1">
        <v>7.18</v>
      </c>
    </row>
    <row r="2266" spans="1:12">
      <c r="A2266" t="s">
        <v>2291</v>
      </c>
      <c r="B2266">
        <v>379455</v>
      </c>
      <c r="C2266" s="2" t="str">
        <f>"4409HDL/34611"</f>
        <v>4409HDL/34611</v>
      </c>
      <c r="D2266" t="s">
        <v>2301</v>
      </c>
      <c r="E2266" t="s">
        <v>4</v>
      </c>
      <c r="F2266">
        <v>3.48</v>
      </c>
      <c r="G2266">
        <v>0.28999999999999998</v>
      </c>
      <c r="H2266" t="s">
        <v>106</v>
      </c>
      <c r="I2266" s="1">
        <v>7.88</v>
      </c>
      <c r="J2266" s="1">
        <v>7.51</v>
      </c>
      <c r="K2266" t="s">
        <v>457</v>
      </c>
      <c r="L2266" s="1">
        <v>8.27</v>
      </c>
    </row>
    <row r="2267" spans="1:12">
      <c r="A2267" t="s">
        <v>2291</v>
      </c>
      <c r="B2267">
        <v>379456</v>
      </c>
      <c r="C2267" s="2" t="str">
        <f>"4412HDL/34411"</f>
        <v>4412HDL/34411</v>
      </c>
      <c r="D2267" t="s">
        <v>2302</v>
      </c>
      <c r="E2267" t="s">
        <v>4</v>
      </c>
      <c r="F2267">
        <v>3.96</v>
      </c>
      <c r="G2267">
        <v>0.33</v>
      </c>
      <c r="H2267" t="s">
        <v>106</v>
      </c>
      <c r="I2267" s="1">
        <v>8.74</v>
      </c>
      <c r="J2267" s="1">
        <v>8.32</v>
      </c>
      <c r="K2267" t="s">
        <v>457</v>
      </c>
      <c r="L2267" s="1">
        <v>9.15</v>
      </c>
    </row>
    <row r="2268" spans="1:12">
      <c r="A2268" t="s">
        <v>2291</v>
      </c>
      <c r="B2268">
        <v>379452</v>
      </c>
      <c r="C2268" s="2" t="str">
        <f>"50"</f>
        <v>50</v>
      </c>
      <c r="D2268" t="s">
        <v>2303</v>
      </c>
      <c r="E2268" t="s">
        <v>4</v>
      </c>
      <c r="F2268">
        <v>3</v>
      </c>
      <c r="G2268">
        <v>0.25</v>
      </c>
      <c r="H2268" t="s">
        <v>106</v>
      </c>
      <c r="I2268" s="1">
        <v>7.51</v>
      </c>
      <c r="J2268" s="1">
        <v>7.15</v>
      </c>
      <c r="K2268" t="s">
        <v>457</v>
      </c>
      <c r="L2268" s="1">
        <v>7.87</v>
      </c>
    </row>
    <row r="2269" spans="1:12">
      <c r="A2269" t="s">
        <v>2291</v>
      </c>
      <c r="B2269">
        <v>486780</v>
      </c>
      <c r="C2269" s="2" t="str">
        <f>"51200/EDL-10"</f>
        <v>51200/EDL-10</v>
      </c>
      <c r="D2269" t="s">
        <v>2304</v>
      </c>
      <c r="E2269" t="s">
        <v>4</v>
      </c>
      <c r="F2269">
        <v>6</v>
      </c>
      <c r="H2269" t="s">
        <v>5</v>
      </c>
      <c r="I2269" s="1">
        <v>443.63</v>
      </c>
      <c r="J2269" s="1">
        <v>422.5</v>
      </c>
      <c r="K2269" t="s">
        <v>6</v>
      </c>
    </row>
    <row r="2270" spans="1:12">
      <c r="A2270" t="s">
        <v>2291</v>
      </c>
      <c r="B2270">
        <v>379458</v>
      </c>
      <c r="C2270" s="2" t="str">
        <f>"6416HD/36610"</f>
        <v>6416HD/36610</v>
      </c>
      <c r="D2270" t="s">
        <v>2305</v>
      </c>
      <c r="E2270" t="s">
        <v>4</v>
      </c>
      <c r="F2270">
        <v>5.52</v>
      </c>
      <c r="G2270">
        <v>0.46</v>
      </c>
      <c r="H2270" t="s">
        <v>106</v>
      </c>
      <c r="I2270" s="1">
        <v>11.26</v>
      </c>
      <c r="J2270" s="1">
        <v>10.73</v>
      </c>
      <c r="K2270" t="s">
        <v>457</v>
      </c>
      <c r="L2270" s="1">
        <v>11.8</v>
      </c>
    </row>
    <row r="2271" spans="1:12">
      <c r="A2271" t="s">
        <v>2291</v>
      </c>
      <c r="B2271">
        <v>379167</v>
      </c>
      <c r="C2271" s="2" t="str">
        <f>"DR-2 OP"</f>
        <v>DR-2 OP</v>
      </c>
      <c r="D2271" t="s">
        <v>2306</v>
      </c>
      <c r="E2271" t="s">
        <v>4</v>
      </c>
      <c r="F2271">
        <v>5</v>
      </c>
      <c r="H2271" t="s">
        <v>5</v>
      </c>
      <c r="I2271" s="1">
        <v>197.93</v>
      </c>
      <c r="J2271" s="1">
        <v>188.5</v>
      </c>
      <c r="K2271" t="s">
        <v>6</v>
      </c>
    </row>
    <row r="2272" spans="1:12">
      <c r="A2272" t="s">
        <v>2291</v>
      </c>
      <c r="B2272">
        <v>454589</v>
      </c>
      <c r="C2272" s="2" t="str">
        <f>"E160"</f>
        <v>E160</v>
      </c>
      <c r="D2272" t="s">
        <v>2307</v>
      </c>
      <c r="E2272" t="s">
        <v>4</v>
      </c>
      <c r="F2272">
        <v>4</v>
      </c>
      <c r="H2272" t="s">
        <v>5</v>
      </c>
      <c r="I2272" s="1">
        <v>283.24</v>
      </c>
      <c r="J2272" s="1">
        <v>269.75</v>
      </c>
      <c r="K2272" t="s">
        <v>6</v>
      </c>
    </row>
    <row r="2273" spans="1:12">
      <c r="A2273" t="s">
        <v>2291</v>
      </c>
      <c r="B2273">
        <v>485825</v>
      </c>
      <c r="C2273" s="2" t="str">
        <f>"G003SP"</f>
        <v>G003SP</v>
      </c>
      <c r="D2273" t="s">
        <v>2308</v>
      </c>
      <c r="E2273" t="s">
        <v>4</v>
      </c>
      <c r="F2273">
        <v>12</v>
      </c>
      <c r="G2273">
        <v>0.5</v>
      </c>
      <c r="H2273" t="s">
        <v>666</v>
      </c>
      <c r="I2273" s="1">
        <v>18.77</v>
      </c>
      <c r="J2273" s="1">
        <v>17.88</v>
      </c>
      <c r="K2273" t="s">
        <v>21</v>
      </c>
      <c r="L2273" s="1">
        <v>19.66</v>
      </c>
    </row>
    <row r="2274" spans="1:12">
      <c r="A2274" t="s">
        <v>2291</v>
      </c>
      <c r="B2274">
        <v>485827</v>
      </c>
      <c r="C2274" s="2" t="str">
        <f>"G004M"</f>
        <v>G004M</v>
      </c>
      <c r="D2274" t="s">
        <v>2309</v>
      </c>
      <c r="E2274" t="s">
        <v>4</v>
      </c>
      <c r="F2274">
        <v>48</v>
      </c>
      <c r="G2274">
        <v>2</v>
      </c>
      <c r="H2274" t="s">
        <v>666</v>
      </c>
      <c r="I2274" s="1">
        <v>7.11</v>
      </c>
      <c r="J2274" s="1">
        <v>6.77</v>
      </c>
      <c r="K2274" t="s">
        <v>21</v>
      </c>
      <c r="L2274" s="1">
        <v>7.45</v>
      </c>
    </row>
    <row r="2275" spans="1:12">
      <c r="A2275" t="s">
        <v>2291</v>
      </c>
      <c r="B2275">
        <v>376991</v>
      </c>
      <c r="C2275" s="2" t="str">
        <f>"G006SP"</f>
        <v>G006SP</v>
      </c>
      <c r="D2275" t="s">
        <v>2310</v>
      </c>
      <c r="E2275" t="s">
        <v>4</v>
      </c>
      <c r="F2275">
        <v>1</v>
      </c>
      <c r="H2275" t="s">
        <v>5</v>
      </c>
      <c r="I2275" s="1">
        <v>8.02</v>
      </c>
      <c r="J2275" s="1">
        <v>7.64</v>
      </c>
      <c r="K2275" t="s">
        <v>6</v>
      </c>
    </row>
    <row r="2276" spans="1:12">
      <c r="A2276" t="s">
        <v>2291</v>
      </c>
      <c r="B2276">
        <v>370315</v>
      </c>
      <c r="C2276" s="2" t="str">
        <f>"G030SP"</f>
        <v>G030SP</v>
      </c>
      <c r="D2276" t="s">
        <v>2311</v>
      </c>
      <c r="E2276" t="s">
        <v>4</v>
      </c>
      <c r="F2276">
        <v>0.25</v>
      </c>
      <c r="H2276" t="s">
        <v>5</v>
      </c>
      <c r="I2276" s="1">
        <v>39.92</v>
      </c>
      <c r="J2276" s="1">
        <v>38.03</v>
      </c>
      <c r="K2276" t="s">
        <v>6</v>
      </c>
    </row>
    <row r="2277" spans="1:12">
      <c r="A2277" t="s">
        <v>2291</v>
      </c>
      <c r="B2277">
        <v>485828</v>
      </c>
      <c r="C2277" s="2" t="str">
        <f>"K004SP/M"</f>
        <v>K004SP/M</v>
      </c>
      <c r="D2277" t="s">
        <v>2312</v>
      </c>
      <c r="E2277" t="s">
        <v>4</v>
      </c>
      <c r="F2277">
        <v>8.4</v>
      </c>
      <c r="G2277">
        <v>0.35</v>
      </c>
      <c r="H2277" t="s">
        <v>666</v>
      </c>
      <c r="I2277" s="1">
        <v>5.63</v>
      </c>
      <c r="J2277" s="1">
        <v>5.36</v>
      </c>
      <c r="K2277" t="s">
        <v>21</v>
      </c>
      <c r="L2277" s="1">
        <v>5.89</v>
      </c>
    </row>
    <row r="2278" spans="1:12">
      <c r="A2278" t="s">
        <v>2291</v>
      </c>
      <c r="B2278">
        <v>485826</v>
      </c>
      <c r="C2278" s="2" t="str">
        <f>"K005M"</f>
        <v>K005M</v>
      </c>
      <c r="D2278" t="s">
        <v>2313</v>
      </c>
      <c r="E2278" t="s">
        <v>4</v>
      </c>
      <c r="F2278">
        <v>24</v>
      </c>
      <c r="G2278">
        <v>1</v>
      </c>
      <c r="H2278" t="s">
        <v>666</v>
      </c>
      <c r="I2278" s="1">
        <v>3.58</v>
      </c>
      <c r="J2278" s="1">
        <v>3.42</v>
      </c>
      <c r="K2278" t="s">
        <v>21</v>
      </c>
      <c r="L2278" s="1">
        <v>3.76</v>
      </c>
    </row>
    <row r="2279" spans="1:12">
      <c r="A2279" t="s">
        <v>2291</v>
      </c>
      <c r="B2279">
        <v>376992</v>
      </c>
      <c r="C2279" s="2" t="str">
        <f>"K006SP"</f>
        <v>K006SP</v>
      </c>
      <c r="D2279" t="s">
        <v>2314</v>
      </c>
      <c r="E2279" t="s">
        <v>4</v>
      </c>
      <c r="F2279">
        <v>1</v>
      </c>
      <c r="H2279" t="s">
        <v>5</v>
      </c>
      <c r="I2279" s="1">
        <v>8.02</v>
      </c>
      <c r="J2279" s="1">
        <v>7.64</v>
      </c>
      <c r="K2279" t="s">
        <v>6</v>
      </c>
    </row>
    <row r="2280" spans="1:12">
      <c r="A2280" t="s">
        <v>2291</v>
      </c>
      <c r="B2280">
        <v>370308</v>
      </c>
      <c r="C2280" s="2" t="str">
        <f>"K032SP"</f>
        <v>K032SP</v>
      </c>
      <c r="D2280" t="s">
        <v>2315</v>
      </c>
      <c r="E2280" t="s">
        <v>4</v>
      </c>
      <c r="F2280">
        <v>0.2</v>
      </c>
      <c r="H2280" t="s">
        <v>5</v>
      </c>
      <c r="I2280" s="1">
        <v>8.36</v>
      </c>
      <c r="J2280" s="1">
        <v>7.96</v>
      </c>
      <c r="K2280" t="s">
        <v>6</v>
      </c>
    </row>
    <row r="2281" spans="1:12">
      <c r="A2281" t="s">
        <v>2291</v>
      </c>
      <c r="B2281">
        <v>477056</v>
      </c>
      <c r="C2281" s="2" t="str">
        <f>"KR-699"</f>
        <v>KR-699</v>
      </c>
      <c r="D2281" t="s">
        <v>2316</v>
      </c>
      <c r="E2281" t="s">
        <v>4</v>
      </c>
      <c r="F2281">
        <v>9.99</v>
      </c>
      <c r="G2281">
        <v>3.33</v>
      </c>
      <c r="H2281" t="s">
        <v>189</v>
      </c>
      <c r="I2281" s="1">
        <v>73.709999999999994</v>
      </c>
      <c r="J2281" s="1">
        <v>70.2</v>
      </c>
      <c r="K2281" t="s">
        <v>21</v>
      </c>
      <c r="L2281" s="1">
        <v>77.22</v>
      </c>
    </row>
    <row r="2282" spans="1:12">
      <c r="A2282" t="s">
        <v>2291</v>
      </c>
      <c r="B2282">
        <v>379184</v>
      </c>
      <c r="C2282" s="2" t="str">
        <f>"S-11"</f>
        <v>S-11</v>
      </c>
      <c r="D2282" t="s">
        <v>2317</v>
      </c>
      <c r="E2282" t="s">
        <v>4</v>
      </c>
      <c r="F2282">
        <v>10</v>
      </c>
      <c r="H2282" t="s">
        <v>5</v>
      </c>
      <c r="I2282" s="1">
        <v>522.11</v>
      </c>
      <c r="J2282" s="1">
        <v>497.25</v>
      </c>
      <c r="K2282" t="s">
        <v>6</v>
      </c>
    </row>
    <row r="2283" spans="1:12">
      <c r="A2283" t="s">
        <v>2291</v>
      </c>
      <c r="B2283">
        <v>379175</v>
      </c>
      <c r="C2283" s="2" t="str">
        <f>"SR-2"</f>
        <v>SR-2</v>
      </c>
      <c r="D2283" t="s">
        <v>2318</v>
      </c>
      <c r="E2283" t="s">
        <v>4</v>
      </c>
      <c r="F2283">
        <v>5</v>
      </c>
      <c r="H2283" t="s">
        <v>5</v>
      </c>
      <c r="I2283" s="1">
        <v>126.26</v>
      </c>
      <c r="J2283" s="1">
        <v>120.25</v>
      </c>
      <c r="K2283" t="s">
        <v>6</v>
      </c>
    </row>
    <row r="2284" spans="1:12">
      <c r="A2284" t="s">
        <v>2291</v>
      </c>
      <c r="B2284">
        <v>378041</v>
      </c>
      <c r="C2284" s="2" t="str">
        <f>"SR-25"</f>
        <v>SR-25</v>
      </c>
      <c r="D2284" t="s">
        <v>2319</v>
      </c>
      <c r="E2284" t="s">
        <v>4</v>
      </c>
      <c r="F2284">
        <v>5</v>
      </c>
      <c r="H2284" t="s">
        <v>5</v>
      </c>
      <c r="I2284" s="1">
        <v>135.13999999999999</v>
      </c>
      <c r="J2284" s="1">
        <v>128.69999999999999</v>
      </c>
      <c r="K2284" t="s">
        <v>6</v>
      </c>
    </row>
    <row r="2285" spans="1:12">
      <c r="A2285" t="s">
        <v>2291</v>
      </c>
      <c r="B2285">
        <v>379178</v>
      </c>
      <c r="C2285" s="2" t="str">
        <f>"SR-5"</f>
        <v>SR-5</v>
      </c>
      <c r="D2285" t="s">
        <v>2320</v>
      </c>
      <c r="E2285" t="s">
        <v>4</v>
      </c>
      <c r="F2285">
        <v>5</v>
      </c>
      <c r="H2285" t="s">
        <v>5</v>
      </c>
      <c r="I2285" s="1">
        <v>126.26</v>
      </c>
      <c r="J2285" s="1">
        <v>120.25</v>
      </c>
      <c r="K2285" t="s">
        <v>6</v>
      </c>
    </row>
    <row r="2286" spans="1:12">
      <c r="A2286" t="s">
        <v>2291</v>
      </c>
      <c r="B2286">
        <v>379190</v>
      </c>
      <c r="C2286" s="2" t="str">
        <f>"U-12"</f>
        <v>U-12</v>
      </c>
      <c r="D2286" t="s">
        <v>2321</v>
      </c>
      <c r="E2286" t="s">
        <v>4</v>
      </c>
      <c r="F2286">
        <v>21</v>
      </c>
      <c r="H2286" t="s">
        <v>5</v>
      </c>
      <c r="I2286" s="1">
        <v>238.19</v>
      </c>
      <c r="J2286" s="1">
        <v>226.85</v>
      </c>
      <c r="K2286" t="s">
        <v>6</v>
      </c>
    </row>
    <row r="2287" spans="1:12">
      <c r="A2287" t="s">
        <v>2322</v>
      </c>
      <c r="B2287">
        <v>505422</v>
      </c>
      <c r="C2287" s="2" t="str">
        <f>"EMI-101B"</f>
        <v>EMI-101B</v>
      </c>
      <c r="D2287" t="s">
        <v>2323</v>
      </c>
      <c r="E2287" t="s">
        <v>4</v>
      </c>
      <c r="F2287">
        <v>7</v>
      </c>
      <c r="H2287" t="s">
        <v>5</v>
      </c>
      <c r="I2287" s="1">
        <v>36.15</v>
      </c>
      <c r="J2287" s="1">
        <v>35.270000000000003</v>
      </c>
      <c r="K2287" t="s">
        <v>6</v>
      </c>
    </row>
    <row r="2288" spans="1:12">
      <c r="A2288" t="s">
        <v>2322</v>
      </c>
      <c r="B2288">
        <v>505424</v>
      </c>
      <c r="C2288" s="2" t="str">
        <f>"EMI-102B"</f>
        <v>EMI-102B</v>
      </c>
      <c r="D2288" t="s">
        <v>2324</v>
      </c>
      <c r="E2288" t="s">
        <v>4</v>
      </c>
      <c r="F2288">
        <v>6.5</v>
      </c>
      <c r="H2288" t="s">
        <v>5</v>
      </c>
      <c r="I2288" s="1">
        <v>36.15</v>
      </c>
      <c r="J2288" s="1">
        <v>35.270000000000003</v>
      </c>
      <c r="K2288" t="s">
        <v>6</v>
      </c>
    </row>
    <row r="2289" spans="1:11">
      <c r="A2289" t="s">
        <v>2322</v>
      </c>
      <c r="B2289">
        <v>505423</v>
      </c>
      <c r="C2289" s="2" t="str">
        <f>"EMI-102C"</f>
        <v>EMI-102C</v>
      </c>
      <c r="D2289" t="s">
        <v>2325</v>
      </c>
      <c r="E2289" t="s">
        <v>4</v>
      </c>
      <c r="F2289">
        <v>6.5</v>
      </c>
      <c r="H2289" t="s">
        <v>5</v>
      </c>
      <c r="I2289" s="1">
        <v>36.15</v>
      </c>
      <c r="J2289" s="1">
        <v>35.270000000000003</v>
      </c>
      <c r="K2289" t="s">
        <v>6</v>
      </c>
    </row>
    <row r="2290" spans="1:11">
      <c r="A2290" t="s">
        <v>2322</v>
      </c>
      <c r="B2290">
        <v>505429</v>
      </c>
      <c r="C2290" s="2" t="str">
        <f>"EMI-200B"</f>
        <v>EMI-200B</v>
      </c>
      <c r="D2290" t="s">
        <v>2326</v>
      </c>
      <c r="E2290" t="s">
        <v>4</v>
      </c>
      <c r="F2290">
        <v>3.5</v>
      </c>
      <c r="H2290" t="s">
        <v>5</v>
      </c>
      <c r="I2290" s="1">
        <v>61.57</v>
      </c>
      <c r="J2290" s="1">
        <v>60.07</v>
      </c>
      <c r="K2290" t="s">
        <v>6</v>
      </c>
    </row>
    <row r="2291" spans="1:11">
      <c r="A2291" t="s">
        <v>2322</v>
      </c>
      <c r="B2291">
        <v>508185</v>
      </c>
      <c r="C2291" s="2" t="str">
        <f>"EMI-201B"</f>
        <v>EMI-201B</v>
      </c>
      <c r="D2291" t="s">
        <v>2327</v>
      </c>
      <c r="E2291" t="s">
        <v>4</v>
      </c>
      <c r="F2291">
        <v>3.5</v>
      </c>
      <c r="H2291" t="s">
        <v>5</v>
      </c>
      <c r="I2291" s="1">
        <v>39.99</v>
      </c>
      <c r="J2291" s="1">
        <v>39.01</v>
      </c>
      <c r="K2291" t="s">
        <v>6</v>
      </c>
    </row>
    <row r="2292" spans="1:11">
      <c r="A2292" t="s">
        <v>2322</v>
      </c>
      <c r="B2292">
        <v>508184</v>
      </c>
      <c r="C2292" s="2" t="str">
        <f>"EMI-202B"</f>
        <v>EMI-202B</v>
      </c>
      <c r="D2292" t="s">
        <v>2328</v>
      </c>
      <c r="E2292" t="s">
        <v>4</v>
      </c>
      <c r="F2292">
        <v>2</v>
      </c>
      <c r="H2292" t="s">
        <v>5</v>
      </c>
      <c r="I2292" s="1">
        <v>33.93</v>
      </c>
      <c r="J2292" s="1">
        <v>33.1</v>
      </c>
      <c r="K2292" t="s">
        <v>6</v>
      </c>
    </row>
    <row r="2293" spans="1:11">
      <c r="A2293" t="s">
        <v>2322</v>
      </c>
      <c r="B2293">
        <v>507183</v>
      </c>
      <c r="C2293" s="2" t="str">
        <f>"EMI-205L"</f>
        <v>EMI-205L</v>
      </c>
      <c r="D2293" t="s">
        <v>2329</v>
      </c>
      <c r="E2293" t="s">
        <v>4</v>
      </c>
      <c r="F2293">
        <v>6.5</v>
      </c>
      <c r="H2293" t="s">
        <v>5</v>
      </c>
      <c r="I2293" s="1">
        <v>36.380000000000003</v>
      </c>
      <c r="J2293" s="1">
        <v>35.49</v>
      </c>
      <c r="K2293" t="s">
        <v>6</v>
      </c>
    </row>
    <row r="2294" spans="1:11">
      <c r="A2294" t="s">
        <v>2322</v>
      </c>
      <c r="B2294">
        <v>505427</v>
      </c>
      <c r="C2294" s="2" t="str">
        <f>"EMI-208B"</f>
        <v>EMI-208B</v>
      </c>
      <c r="D2294" t="s">
        <v>2330</v>
      </c>
      <c r="E2294" t="s">
        <v>4</v>
      </c>
      <c r="F2294">
        <v>11.5</v>
      </c>
      <c r="H2294" t="s">
        <v>5</v>
      </c>
      <c r="I2294" s="1">
        <v>123.64</v>
      </c>
      <c r="J2294" s="1">
        <v>120.63</v>
      </c>
      <c r="K2294" t="s">
        <v>6</v>
      </c>
    </row>
    <row r="2295" spans="1:11">
      <c r="A2295" t="s">
        <v>2322</v>
      </c>
      <c r="B2295">
        <v>505412</v>
      </c>
      <c r="C2295" s="2" t="str">
        <f>"EMI-220B"</f>
        <v>EMI-220B</v>
      </c>
      <c r="D2295" t="s">
        <v>2331</v>
      </c>
      <c r="E2295" t="s">
        <v>4</v>
      </c>
      <c r="F2295">
        <v>7.7</v>
      </c>
      <c r="H2295" t="s">
        <v>5</v>
      </c>
      <c r="I2295" s="1">
        <v>32.770000000000003</v>
      </c>
      <c r="J2295" s="1">
        <v>31.97</v>
      </c>
      <c r="K2295" t="s">
        <v>6</v>
      </c>
    </row>
    <row r="2296" spans="1:11">
      <c r="A2296" t="s">
        <v>2322</v>
      </c>
      <c r="B2296">
        <v>505420</v>
      </c>
      <c r="C2296" s="2" t="str">
        <f>"EMI-260B"</f>
        <v>EMI-260B</v>
      </c>
      <c r="D2296" t="s">
        <v>2332</v>
      </c>
      <c r="E2296" t="s">
        <v>4</v>
      </c>
      <c r="F2296">
        <v>13.5</v>
      </c>
      <c r="H2296" t="s">
        <v>5</v>
      </c>
      <c r="I2296" s="1">
        <v>51.17</v>
      </c>
      <c r="J2296" s="1">
        <v>49.92</v>
      </c>
      <c r="K2296" t="s">
        <v>6</v>
      </c>
    </row>
    <row r="2297" spans="1:11">
      <c r="A2297" t="s">
        <v>2322</v>
      </c>
      <c r="B2297">
        <v>505416</v>
      </c>
      <c r="C2297" s="2" t="str">
        <f>"EMI-280B"</f>
        <v>EMI-280B</v>
      </c>
      <c r="D2297" t="s">
        <v>2333</v>
      </c>
      <c r="E2297" t="s">
        <v>4</v>
      </c>
      <c r="F2297">
        <v>17.5</v>
      </c>
      <c r="H2297" t="s">
        <v>5</v>
      </c>
      <c r="I2297" s="1">
        <v>65.790000000000006</v>
      </c>
      <c r="J2297" s="1">
        <v>64.180000000000007</v>
      </c>
      <c r="K2297" t="s">
        <v>6</v>
      </c>
    </row>
    <row r="2298" spans="1:11">
      <c r="A2298" t="s">
        <v>2322</v>
      </c>
      <c r="B2298">
        <v>507194</v>
      </c>
      <c r="C2298" s="2" t="str">
        <f>"EMI-320L"</f>
        <v>EMI-320L</v>
      </c>
      <c r="D2298" t="s">
        <v>2334</v>
      </c>
      <c r="E2298" t="s">
        <v>4</v>
      </c>
      <c r="F2298">
        <v>3</v>
      </c>
      <c r="H2298" t="s">
        <v>5</v>
      </c>
      <c r="I2298" s="1">
        <v>23.03</v>
      </c>
      <c r="J2298" s="1">
        <v>22.46</v>
      </c>
      <c r="K2298" t="s">
        <v>6</v>
      </c>
    </row>
    <row r="2299" spans="1:11">
      <c r="A2299" t="s">
        <v>2322</v>
      </c>
      <c r="B2299">
        <v>505430</v>
      </c>
      <c r="C2299" s="2" t="str">
        <f>"EMI-320LP"</f>
        <v>EMI-320LP</v>
      </c>
      <c r="D2299" t="s">
        <v>2335</v>
      </c>
      <c r="E2299" t="s">
        <v>4</v>
      </c>
      <c r="F2299">
        <v>3</v>
      </c>
      <c r="H2299" t="s">
        <v>5</v>
      </c>
      <c r="I2299" s="1">
        <v>36.46</v>
      </c>
      <c r="J2299" s="1">
        <v>35.57</v>
      </c>
      <c r="K2299" t="s">
        <v>6</v>
      </c>
    </row>
    <row r="2300" spans="1:11">
      <c r="A2300" t="s">
        <v>2322</v>
      </c>
      <c r="B2300">
        <v>507200</v>
      </c>
      <c r="C2300" s="2" t="str">
        <f>"EMI-360L"</f>
        <v>EMI-360L</v>
      </c>
      <c r="D2300" t="s">
        <v>2336</v>
      </c>
      <c r="E2300" t="s">
        <v>4</v>
      </c>
      <c r="F2300">
        <v>5</v>
      </c>
      <c r="H2300" t="s">
        <v>5</v>
      </c>
      <c r="I2300" s="1">
        <v>35.979999999999997</v>
      </c>
      <c r="J2300" s="1">
        <v>35.1</v>
      </c>
      <c r="K2300" t="s">
        <v>6</v>
      </c>
    </row>
    <row r="2301" spans="1:11">
      <c r="A2301" t="s">
        <v>2322</v>
      </c>
      <c r="B2301">
        <v>507201</v>
      </c>
      <c r="C2301" s="2" t="str">
        <f>"EMI-380L"</f>
        <v>EMI-380L</v>
      </c>
      <c r="D2301" t="s">
        <v>2337</v>
      </c>
      <c r="E2301" t="s">
        <v>4</v>
      </c>
      <c r="F2301">
        <v>6</v>
      </c>
      <c r="H2301" t="s">
        <v>5</v>
      </c>
      <c r="I2301" s="1">
        <v>44.63</v>
      </c>
      <c r="J2301" s="1">
        <v>43.54</v>
      </c>
      <c r="K2301" t="s">
        <v>6</v>
      </c>
    </row>
    <row r="2302" spans="1:11">
      <c r="A2302" t="s">
        <v>2322</v>
      </c>
      <c r="B2302">
        <v>505433</v>
      </c>
      <c r="C2302" s="2" t="str">
        <f>"EMI-380LP"</f>
        <v>EMI-380LP</v>
      </c>
      <c r="D2302" t="s">
        <v>2338</v>
      </c>
      <c r="E2302" t="s">
        <v>4</v>
      </c>
      <c r="F2302">
        <v>6</v>
      </c>
      <c r="H2302" t="s">
        <v>5</v>
      </c>
      <c r="I2302" s="1">
        <v>60.98</v>
      </c>
      <c r="J2302" s="1">
        <v>59.49</v>
      </c>
      <c r="K2302" t="s">
        <v>6</v>
      </c>
    </row>
    <row r="2303" spans="1:11">
      <c r="A2303" t="s">
        <v>2322</v>
      </c>
      <c r="B2303">
        <v>505413</v>
      </c>
      <c r="C2303" s="2" t="str">
        <f>"EMI-520B"</f>
        <v>EMI-520B</v>
      </c>
      <c r="D2303" t="s">
        <v>2339</v>
      </c>
      <c r="E2303" t="s">
        <v>4</v>
      </c>
      <c r="F2303">
        <v>11</v>
      </c>
      <c r="H2303" t="s">
        <v>5</v>
      </c>
      <c r="I2303" s="1">
        <v>48.16</v>
      </c>
      <c r="J2303" s="1">
        <v>46.98</v>
      </c>
      <c r="K2303" t="s">
        <v>6</v>
      </c>
    </row>
    <row r="2304" spans="1:11">
      <c r="A2304" t="s">
        <v>2322</v>
      </c>
      <c r="B2304">
        <v>505417</v>
      </c>
      <c r="C2304" s="2" t="str">
        <f>"EMI-560B"</f>
        <v>EMI-560B</v>
      </c>
      <c r="D2304" t="s">
        <v>2340</v>
      </c>
      <c r="E2304" t="s">
        <v>4</v>
      </c>
      <c r="F2304">
        <v>19</v>
      </c>
      <c r="H2304" t="s">
        <v>5</v>
      </c>
      <c r="I2304" s="1">
        <v>60.34</v>
      </c>
      <c r="J2304" s="1">
        <v>58.86</v>
      </c>
      <c r="K2304" t="s">
        <v>6</v>
      </c>
    </row>
    <row r="2305" spans="1:11">
      <c r="A2305" t="s">
        <v>2322</v>
      </c>
      <c r="B2305">
        <v>505414</v>
      </c>
      <c r="C2305" s="2" t="str">
        <f>"EMI-580B"</f>
        <v>EMI-580B</v>
      </c>
      <c r="D2305" t="s">
        <v>2341</v>
      </c>
      <c r="E2305" t="s">
        <v>4</v>
      </c>
      <c r="F2305">
        <v>21.5</v>
      </c>
      <c r="H2305" t="s">
        <v>5</v>
      </c>
      <c r="I2305" s="1">
        <v>80.44</v>
      </c>
      <c r="J2305" s="1">
        <v>78.48</v>
      </c>
      <c r="K2305" t="s">
        <v>6</v>
      </c>
    </row>
    <row r="2306" spans="1:11">
      <c r="A2306" t="s">
        <v>2322</v>
      </c>
      <c r="B2306">
        <v>505475</v>
      </c>
      <c r="C2306" s="2" t="str">
        <f>"EMI-CC006C"</f>
        <v>EMI-CC006C</v>
      </c>
      <c r="D2306" t="s">
        <v>2342</v>
      </c>
      <c r="E2306" t="s">
        <v>4</v>
      </c>
      <c r="F2306">
        <v>8</v>
      </c>
      <c r="H2306" t="s">
        <v>5</v>
      </c>
      <c r="I2306" s="1">
        <v>61.22</v>
      </c>
      <c r="J2306" s="1">
        <v>59.72</v>
      </c>
      <c r="K2306" t="s">
        <v>6</v>
      </c>
    </row>
    <row r="2307" spans="1:11">
      <c r="A2307" t="s">
        <v>2322</v>
      </c>
      <c r="B2307">
        <v>505477</v>
      </c>
      <c r="C2307" s="2" t="str">
        <f>"EMI-CC009C"</f>
        <v>EMI-CC009C</v>
      </c>
      <c r="D2307" t="s">
        <v>2343</v>
      </c>
      <c r="E2307" t="s">
        <v>4</v>
      </c>
      <c r="F2307">
        <v>21</v>
      </c>
      <c r="H2307" t="s">
        <v>5</v>
      </c>
      <c r="I2307" s="1">
        <v>103.75</v>
      </c>
      <c r="J2307" s="1">
        <v>101.22</v>
      </c>
      <c r="K2307" t="s">
        <v>6</v>
      </c>
    </row>
    <row r="2308" spans="1:11">
      <c r="A2308" t="s">
        <v>2322</v>
      </c>
      <c r="B2308">
        <v>505484</v>
      </c>
      <c r="C2308" s="2" t="str">
        <f>"EMI-CWT10"</f>
        <v>EMI-CWT10</v>
      </c>
      <c r="D2308" t="s">
        <v>2344</v>
      </c>
      <c r="E2308" t="s">
        <v>4</v>
      </c>
      <c r="F2308">
        <v>18.5</v>
      </c>
      <c r="H2308" t="s">
        <v>5</v>
      </c>
      <c r="I2308" s="1">
        <v>54.75</v>
      </c>
      <c r="J2308" s="1">
        <v>53.42</v>
      </c>
      <c r="K2308" t="s">
        <v>6</v>
      </c>
    </row>
    <row r="2309" spans="1:11">
      <c r="A2309" t="s">
        <v>2322</v>
      </c>
      <c r="B2309">
        <v>505485</v>
      </c>
      <c r="C2309" s="2" t="str">
        <f>"EMI-CWT12"</f>
        <v>EMI-CWT12</v>
      </c>
      <c r="D2309" t="s">
        <v>2345</v>
      </c>
      <c r="E2309" t="s">
        <v>4</v>
      </c>
      <c r="F2309">
        <v>25</v>
      </c>
      <c r="H2309" t="s">
        <v>5</v>
      </c>
      <c r="I2309" s="1">
        <v>94.75</v>
      </c>
      <c r="J2309" s="1">
        <v>92.44</v>
      </c>
      <c r="K2309" t="s">
        <v>6</v>
      </c>
    </row>
    <row r="2310" spans="1:11">
      <c r="A2310" t="s">
        <v>2322</v>
      </c>
      <c r="B2310">
        <v>505480</v>
      </c>
      <c r="C2310" s="2" t="str">
        <f>"EMI-CWT5"</f>
        <v>EMI-CWT5</v>
      </c>
      <c r="D2310" t="s">
        <v>2346</v>
      </c>
      <c r="E2310" t="s">
        <v>4</v>
      </c>
      <c r="F2310">
        <v>10</v>
      </c>
      <c r="H2310" t="s">
        <v>5</v>
      </c>
      <c r="I2310" s="1">
        <v>47.22</v>
      </c>
      <c r="J2310" s="1">
        <v>46.07</v>
      </c>
      <c r="K2310" t="s">
        <v>6</v>
      </c>
    </row>
    <row r="2311" spans="1:11">
      <c r="A2311" t="s">
        <v>2322</v>
      </c>
      <c r="B2311">
        <v>505482</v>
      </c>
      <c r="C2311" s="2" t="str">
        <f>"EMI-CWT8"</f>
        <v>EMI-CWT8</v>
      </c>
      <c r="D2311" t="s">
        <v>2347</v>
      </c>
      <c r="E2311" t="s">
        <v>4</v>
      </c>
      <c r="F2311">
        <v>15.5</v>
      </c>
      <c r="H2311" t="s">
        <v>5</v>
      </c>
      <c r="I2311" s="1">
        <v>54.75</v>
      </c>
      <c r="J2311" s="1">
        <v>53.42</v>
      </c>
      <c r="K2311" t="s">
        <v>6</v>
      </c>
    </row>
    <row r="2312" spans="1:11">
      <c r="A2312" t="s">
        <v>2322</v>
      </c>
      <c r="B2312">
        <v>505483</v>
      </c>
      <c r="C2312" s="2" t="str">
        <f>"EMI-CWT9"</f>
        <v>EMI-CWT9</v>
      </c>
      <c r="D2312" t="s">
        <v>2348</v>
      </c>
      <c r="E2312" t="s">
        <v>4</v>
      </c>
      <c r="F2312">
        <v>15</v>
      </c>
      <c r="H2312" t="s">
        <v>5</v>
      </c>
      <c r="I2312" s="1">
        <v>54.75</v>
      </c>
      <c r="J2312" s="1">
        <v>53.42</v>
      </c>
      <c r="K2312" t="s">
        <v>6</v>
      </c>
    </row>
    <row r="2313" spans="1:11">
      <c r="A2313" t="s">
        <v>2322</v>
      </c>
      <c r="B2313">
        <v>542622</v>
      </c>
      <c r="C2313" s="2" t="str">
        <f>"EMI-GWP10BNG"</f>
        <v>EMI-GWP10BNG</v>
      </c>
      <c r="D2313" t="s">
        <v>2349</v>
      </c>
      <c r="E2313" t="s">
        <v>4</v>
      </c>
      <c r="F2313">
        <v>17.100000000000001</v>
      </c>
      <c r="H2313" t="s">
        <v>5</v>
      </c>
      <c r="I2313" s="1">
        <v>109.16</v>
      </c>
      <c r="J2313" s="1">
        <v>106.5</v>
      </c>
      <c r="K2313" t="s">
        <v>6</v>
      </c>
    </row>
    <row r="2314" spans="1:11">
      <c r="A2314" t="s">
        <v>2322</v>
      </c>
      <c r="B2314">
        <v>542632</v>
      </c>
      <c r="C2314" s="2" t="str">
        <f>"EMI-GWP10WS"</f>
        <v>EMI-GWP10WS</v>
      </c>
      <c r="D2314" t="s">
        <v>2350</v>
      </c>
      <c r="E2314" t="s">
        <v>4</v>
      </c>
      <c r="F2314">
        <v>17.100000000000001</v>
      </c>
      <c r="H2314" t="s">
        <v>5</v>
      </c>
      <c r="I2314" s="1">
        <v>109.16</v>
      </c>
      <c r="J2314" s="1">
        <v>106.5</v>
      </c>
      <c r="K2314" t="s">
        <v>6</v>
      </c>
    </row>
    <row r="2315" spans="1:11">
      <c r="A2315" t="s">
        <v>2322</v>
      </c>
      <c r="B2315">
        <v>542629</v>
      </c>
      <c r="C2315" s="2" t="str">
        <f>"EMI-GWP6WS"</f>
        <v>EMI-GWP6WS</v>
      </c>
      <c r="D2315" t="s">
        <v>2351</v>
      </c>
      <c r="E2315" t="s">
        <v>4</v>
      </c>
      <c r="F2315">
        <v>4.9000000000000004</v>
      </c>
      <c r="H2315" t="s">
        <v>5</v>
      </c>
      <c r="I2315" s="1">
        <v>45.16</v>
      </c>
      <c r="J2315" s="1">
        <v>44.06</v>
      </c>
      <c r="K2315" t="s">
        <v>6</v>
      </c>
    </row>
    <row r="2316" spans="1:11">
      <c r="A2316" t="s">
        <v>2322</v>
      </c>
      <c r="B2316">
        <v>507604</v>
      </c>
      <c r="C2316" s="2" t="str">
        <f>"EMI-PBC"</f>
        <v>EMI-PBC</v>
      </c>
      <c r="D2316" t="s">
        <v>2352</v>
      </c>
      <c r="E2316" t="s">
        <v>4</v>
      </c>
      <c r="F2316">
        <v>7.5</v>
      </c>
      <c r="H2316" t="s">
        <v>5</v>
      </c>
      <c r="I2316" s="1">
        <v>73.03</v>
      </c>
      <c r="J2316" s="1">
        <v>71.25</v>
      </c>
      <c r="K2316" t="s">
        <v>6</v>
      </c>
    </row>
    <row r="2317" spans="1:11">
      <c r="A2317" t="s">
        <v>2322</v>
      </c>
      <c r="B2317">
        <v>508170</v>
      </c>
      <c r="C2317" s="2" t="str">
        <f>"EMI-PTB10L"</f>
        <v>EMI-PTB10L</v>
      </c>
      <c r="D2317" t="s">
        <v>2353</v>
      </c>
      <c r="E2317" t="s">
        <v>4</v>
      </c>
      <c r="F2317">
        <v>3</v>
      </c>
      <c r="H2317" t="s">
        <v>5</v>
      </c>
      <c r="I2317" s="1">
        <v>25.04</v>
      </c>
      <c r="J2317" s="1">
        <v>24.43</v>
      </c>
      <c r="K2317" t="s">
        <v>6</v>
      </c>
    </row>
    <row r="2318" spans="1:11">
      <c r="A2318" t="s">
        <v>2322</v>
      </c>
      <c r="B2318">
        <v>508171</v>
      </c>
      <c r="C2318" s="2" t="str">
        <f>"EMI-PTB12L"</f>
        <v>EMI-PTB12L</v>
      </c>
      <c r="D2318" t="s">
        <v>2354</v>
      </c>
      <c r="E2318" t="s">
        <v>4</v>
      </c>
      <c r="F2318">
        <v>4.5</v>
      </c>
      <c r="H2318" t="s">
        <v>5</v>
      </c>
      <c r="I2318" s="1">
        <v>43.61</v>
      </c>
      <c r="J2318" s="1">
        <v>42.55</v>
      </c>
      <c r="K2318" t="s">
        <v>6</v>
      </c>
    </row>
    <row r="2319" spans="1:11">
      <c r="A2319" t="s">
        <v>2322</v>
      </c>
      <c r="B2319">
        <v>508172</v>
      </c>
      <c r="C2319" s="2" t="str">
        <f>"EMI-PTB160-12B"</f>
        <v>EMI-PTB160-12B</v>
      </c>
      <c r="D2319" t="s">
        <v>2355</v>
      </c>
      <c r="E2319" t="s">
        <v>4</v>
      </c>
      <c r="F2319">
        <v>5.5</v>
      </c>
      <c r="H2319" t="s">
        <v>5</v>
      </c>
      <c r="I2319" s="1">
        <v>57.31</v>
      </c>
      <c r="J2319" s="1">
        <v>55.91</v>
      </c>
      <c r="K2319" t="s">
        <v>6</v>
      </c>
    </row>
    <row r="2320" spans="1:11">
      <c r="A2320" t="s">
        <v>2322</v>
      </c>
      <c r="B2320">
        <v>508153</v>
      </c>
      <c r="C2320" s="2" t="str">
        <f>"EMI-PTB80-10B"</f>
        <v>EMI-PTB80-10B</v>
      </c>
      <c r="D2320" t="s">
        <v>2356</v>
      </c>
      <c r="E2320" t="s">
        <v>4</v>
      </c>
      <c r="F2320">
        <v>4</v>
      </c>
      <c r="H2320" t="s">
        <v>5</v>
      </c>
      <c r="I2320" s="1">
        <v>35.909999999999997</v>
      </c>
      <c r="J2320" s="1">
        <v>35.04</v>
      </c>
      <c r="K2320" t="s">
        <v>6</v>
      </c>
    </row>
    <row r="2321" spans="1:11">
      <c r="A2321" t="s">
        <v>2322</v>
      </c>
      <c r="B2321">
        <v>505497</v>
      </c>
      <c r="C2321" s="2" t="str">
        <f>"EMI-REC4-500"</f>
        <v>EMI-REC4-500</v>
      </c>
      <c r="D2321" t="s">
        <v>2357</v>
      </c>
      <c r="E2321" t="s">
        <v>4</v>
      </c>
      <c r="F2321">
        <v>19.84</v>
      </c>
      <c r="H2321" t="s">
        <v>5</v>
      </c>
      <c r="I2321" s="1">
        <v>123.72</v>
      </c>
      <c r="J2321" s="1">
        <v>120.71</v>
      </c>
      <c r="K2321" t="s">
        <v>6</v>
      </c>
    </row>
    <row r="2322" spans="1:11">
      <c r="A2322" t="s">
        <v>2322</v>
      </c>
      <c r="B2322">
        <v>529435</v>
      </c>
      <c r="C2322" s="2" t="str">
        <f>"EMI-REP10C"</f>
        <v>EMI-REP10C</v>
      </c>
      <c r="D2322" t="s">
        <v>2358</v>
      </c>
      <c r="E2322" t="s">
        <v>4</v>
      </c>
      <c r="F2322">
        <v>19.5</v>
      </c>
      <c r="H2322" t="s">
        <v>5</v>
      </c>
      <c r="I2322" s="1">
        <v>101.16</v>
      </c>
      <c r="J2322" s="1">
        <v>98.7</v>
      </c>
      <c r="K2322" t="s">
        <v>6</v>
      </c>
    </row>
    <row r="2323" spans="1:11">
      <c r="A2323" t="s">
        <v>2322</v>
      </c>
      <c r="B2323">
        <v>529427</v>
      </c>
      <c r="C2323" s="2" t="str">
        <f>"EMI-REP7W"</f>
        <v>EMI-REP7W</v>
      </c>
      <c r="D2323" t="s">
        <v>2359</v>
      </c>
      <c r="E2323" t="s">
        <v>4</v>
      </c>
      <c r="F2323">
        <v>11.5</v>
      </c>
      <c r="H2323" t="s">
        <v>5</v>
      </c>
      <c r="I2323" s="1">
        <v>83.25</v>
      </c>
      <c r="J2323" s="1">
        <v>81.22</v>
      </c>
      <c r="K2323" t="s">
        <v>6</v>
      </c>
    </row>
    <row r="2324" spans="1:11">
      <c r="A2324" t="s">
        <v>2322</v>
      </c>
      <c r="B2324">
        <v>505496</v>
      </c>
      <c r="C2324" s="2" t="str">
        <f>"EMI-REWG25-500"</f>
        <v>EMI-REWG25-500</v>
      </c>
      <c r="D2324" t="s">
        <v>2360</v>
      </c>
      <c r="E2324" t="s">
        <v>4</v>
      </c>
      <c r="F2324">
        <v>20.94</v>
      </c>
      <c r="H2324" t="s">
        <v>5</v>
      </c>
      <c r="I2324" s="1">
        <v>132.61000000000001</v>
      </c>
      <c r="J2324" s="1">
        <v>129.38</v>
      </c>
      <c r="K2324" t="s">
        <v>6</v>
      </c>
    </row>
    <row r="2325" spans="1:11">
      <c r="A2325" t="s">
        <v>2322</v>
      </c>
      <c r="B2325">
        <v>556995</v>
      </c>
      <c r="C2325" s="2" t="str">
        <f>"EMI-SB128C"</f>
        <v>EMI-SB128C</v>
      </c>
      <c r="D2325" t="s">
        <v>2361</v>
      </c>
      <c r="E2325" t="s">
        <v>4</v>
      </c>
      <c r="F2325">
        <v>16.5</v>
      </c>
      <c r="H2325" t="s">
        <v>5</v>
      </c>
      <c r="I2325" s="1">
        <v>98.8</v>
      </c>
      <c r="J2325" s="1">
        <v>96.4</v>
      </c>
      <c r="K2325" t="s">
        <v>6</v>
      </c>
    </row>
    <row r="2326" spans="1:11">
      <c r="A2326" t="s">
        <v>2322</v>
      </c>
      <c r="B2326">
        <v>556992</v>
      </c>
      <c r="C2326" s="2" t="str">
        <f>"EMI-SB16B"</f>
        <v>EMI-SB16B</v>
      </c>
      <c r="D2326" t="s">
        <v>2362</v>
      </c>
      <c r="E2326" t="s">
        <v>4</v>
      </c>
      <c r="F2326">
        <v>5.0999999999999996</v>
      </c>
      <c r="H2326" t="s">
        <v>5</v>
      </c>
      <c r="I2326" s="1">
        <v>40.28</v>
      </c>
      <c r="J2326" s="1">
        <v>39.299999999999997</v>
      </c>
      <c r="K2326" t="s">
        <v>6</v>
      </c>
    </row>
    <row r="2327" spans="1:11">
      <c r="A2327" t="s">
        <v>2322</v>
      </c>
      <c r="B2327">
        <v>556994</v>
      </c>
      <c r="C2327" s="2" t="str">
        <f>"EMI-SB64C"</f>
        <v>EMI-SB64C</v>
      </c>
      <c r="D2327" t="s">
        <v>2363</v>
      </c>
      <c r="E2327" t="s">
        <v>4</v>
      </c>
      <c r="F2327">
        <v>19.5</v>
      </c>
      <c r="H2327" t="s">
        <v>5</v>
      </c>
      <c r="I2327" s="1">
        <v>126.83</v>
      </c>
      <c r="J2327" s="1">
        <v>123.73</v>
      </c>
      <c r="K2327" t="s">
        <v>6</v>
      </c>
    </row>
    <row r="2328" spans="1:11">
      <c r="A2328" t="s">
        <v>2322</v>
      </c>
      <c r="B2328">
        <v>557166</v>
      </c>
      <c r="C2328" s="2" t="str">
        <f>"EMI-SB8B"</f>
        <v>EMI-SB8B</v>
      </c>
      <c r="D2328" t="s">
        <v>2364</v>
      </c>
      <c r="E2328" t="s">
        <v>4</v>
      </c>
      <c r="F2328">
        <v>3.5</v>
      </c>
      <c r="H2328" t="s">
        <v>6</v>
      </c>
      <c r="I2328" t="s">
        <v>1373</v>
      </c>
      <c r="J2328" t="s">
        <v>1374</v>
      </c>
      <c r="K2328" t="s">
        <v>6</v>
      </c>
    </row>
    <row r="2329" spans="1:11">
      <c r="A2329" t="s">
        <v>2322</v>
      </c>
      <c r="B2329">
        <v>556996</v>
      </c>
      <c r="C2329" s="2" t="str">
        <f>"EMI-SB8LP"</f>
        <v>EMI-SB8LP</v>
      </c>
      <c r="D2329" t="s">
        <v>2365</v>
      </c>
      <c r="E2329" t="s">
        <v>4</v>
      </c>
      <c r="F2329">
        <v>2</v>
      </c>
      <c r="H2329" t="s">
        <v>5</v>
      </c>
      <c r="I2329" s="1">
        <v>25.3</v>
      </c>
      <c r="J2329" s="1">
        <v>24.69</v>
      </c>
      <c r="K2329" t="s">
        <v>6</v>
      </c>
    </row>
    <row r="2330" spans="1:11">
      <c r="A2330" t="s">
        <v>2322</v>
      </c>
      <c r="B2330">
        <v>505493</v>
      </c>
      <c r="C2330" s="2" t="str">
        <f>"EMI-SFC5"</f>
        <v>EMI-SFC5</v>
      </c>
      <c r="D2330" t="s">
        <v>2366</v>
      </c>
      <c r="E2330" t="s">
        <v>4</v>
      </c>
      <c r="F2330">
        <v>7.5</v>
      </c>
      <c r="H2330" t="s">
        <v>5</v>
      </c>
      <c r="I2330" s="1">
        <v>82.1</v>
      </c>
      <c r="J2330" s="1">
        <v>80.09</v>
      </c>
      <c r="K2330" t="s">
        <v>6</v>
      </c>
    </row>
    <row r="2331" spans="1:11">
      <c r="A2331" t="s">
        <v>2322</v>
      </c>
      <c r="B2331">
        <v>505495</v>
      </c>
      <c r="C2331" s="2" t="str">
        <f>"EMI-SMTG8"</f>
        <v>EMI-SMTG8</v>
      </c>
      <c r="D2331" t="s">
        <v>2367</v>
      </c>
      <c r="E2331" t="s">
        <v>4</v>
      </c>
      <c r="F2331">
        <v>9</v>
      </c>
      <c r="H2331" t="s">
        <v>5</v>
      </c>
      <c r="I2331" s="1">
        <v>102.92</v>
      </c>
      <c r="J2331" s="1">
        <v>100.41</v>
      </c>
      <c r="K2331" t="s">
        <v>6</v>
      </c>
    </row>
    <row r="2332" spans="1:11">
      <c r="A2332" t="s">
        <v>2322</v>
      </c>
      <c r="B2332">
        <v>505464</v>
      </c>
      <c r="C2332" s="2" t="str">
        <f>"EMI-SP11B"</f>
        <v>EMI-SP11B</v>
      </c>
      <c r="D2332" t="s">
        <v>2368</v>
      </c>
      <c r="E2332" t="s">
        <v>4</v>
      </c>
      <c r="F2332">
        <v>22.99</v>
      </c>
      <c r="H2332" t="s">
        <v>5</v>
      </c>
      <c r="I2332" s="1">
        <v>140.02000000000001</v>
      </c>
      <c r="J2332" s="1">
        <v>136.6</v>
      </c>
      <c r="K2332" t="s">
        <v>6</v>
      </c>
    </row>
    <row r="2333" spans="1:11">
      <c r="A2333" t="s">
        <v>2322</v>
      </c>
      <c r="B2333">
        <v>505463</v>
      </c>
      <c r="C2333" s="2" t="str">
        <f>"EMI-SP11W"</f>
        <v>EMI-SP11W</v>
      </c>
      <c r="D2333" t="s">
        <v>2369</v>
      </c>
      <c r="E2333" t="s">
        <v>4</v>
      </c>
      <c r="F2333">
        <v>22.99</v>
      </c>
      <c r="H2333" t="s">
        <v>5</v>
      </c>
      <c r="I2333" s="1">
        <v>140.02000000000001</v>
      </c>
      <c r="J2333" s="1">
        <v>136.6</v>
      </c>
      <c r="K2333" t="s">
        <v>6</v>
      </c>
    </row>
    <row r="2334" spans="1:11">
      <c r="A2334" t="s">
        <v>2322</v>
      </c>
      <c r="B2334">
        <v>505457</v>
      </c>
      <c r="C2334" s="2" t="str">
        <f>"EMI-SP6B"</f>
        <v>EMI-SP6B</v>
      </c>
      <c r="D2334" t="s">
        <v>2370</v>
      </c>
      <c r="E2334" t="s">
        <v>4</v>
      </c>
      <c r="F2334">
        <v>10.36</v>
      </c>
      <c r="H2334" t="s">
        <v>5</v>
      </c>
      <c r="I2334" s="1">
        <v>59.39</v>
      </c>
      <c r="J2334" s="1">
        <v>57.94</v>
      </c>
      <c r="K2334" t="s">
        <v>6</v>
      </c>
    </row>
    <row r="2335" spans="1:11">
      <c r="A2335" t="s">
        <v>2322</v>
      </c>
      <c r="B2335">
        <v>505456</v>
      </c>
      <c r="C2335" s="2" t="str">
        <f>"EMI-SP6W"</f>
        <v>EMI-SP6W</v>
      </c>
      <c r="D2335" t="s">
        <v>2371</v>
      </c>
      <c r="E2335" t="s">
        <v>4</v>
      </c>
      <c r="F2335">
        <v>10.36</v>
      </c>
      <c r="H2335" t="s">
        <v>5</v>
      </c>
      <c r="I2335" s="1">
        <v>59.39</v>
      </c>
      <c r="J2335" s="1">
        <v>57.94</v>
      </c>
      <c r="K2335" t="s">
        <v>6</v>
      </c>
    </row>
    <row r="2336" spans="1:11">
      <c r="A2336" t="s">
        <v>2322</v>
      </c>
      <c r="B2336">
        <v>508178</v>
      </c>
      <c r="C2336" s="2" t="str">
        <f>"EMI-SP8B"</f>
        <v>EMI-SP8B</v>
      </c>
      <c r="D2336" t="s">
        <v>2372</v>
      </c>
      <c r="E2336" t="s">
        <v>4</v>
      </c>
      <c r="F2336">
        <v>17.420000000000002</v>
      </c>
      <c r="H2336" t="s">
        <v>5</v>
      </c>
      <c r="I2336" s="1">
        <v>101.4</v>
      </c>
      <c r="J2336" s="1">
        <v>98.93</v>
      </c>
      <c r="K2336" t="s">
        <v>6</v>
      </c>
    </row>
    <row r="2337" spans="1:11">
      <c r="A2337" t="s">
        <v>2322</v>
      </c>
      <c r="B2337">
        <v>508179</v>
      </c>
      <c r="C2337" s="2" t="str">
        <f>"EMI-SP8W"</f>
        <v>EMI-SP8W</v>
      </c>
      <c r="D2337" t="s">
        <v>2373</v>
      </c>
      <c r="E2337" t="s">
        <v>4</v>
      </c>
      <c r="F2337">
        <v>17.420000000000002</v>
      </c>
      <c r="H2337" t="s">
        <v>5</v>
      </c>
      <c r="I2337" s="1">
        <v>101.4</v>
      </c>
      <c r="J2337" s="1">
        <v>98.93</v>
      </c>
      <c r="K2337" t="s">
        <v>6</v>
      </c>
    </row>
    <row r="2338" spans="1:11">
      <c r="A2338" t="s">
        <v>2322</v>
      </c>
      <c r="B2338">
        <v>505461</v>
      </c>
      <c r="C2338" s="2" t="str">
        <f>"EMI-SP9B"</f>
        <v>EMI-SP9B</v>
      </c>
      <c r="D2338" t="s">
        <v>2374</v>
      </c>
      <c r="E2338" t="s">
        <v>4</v>
      </c>
      <c r="F2338">
        <v>22.27</v>
      </c>
      <c r="H2338" t="s">
        <v>5</v>
      </c>
      <c r="I2338" s="1">
        <v>118.75</v>
      </c>
      <c r="J2338" s="1">
        <v>115.86</v>
      </c>
      <c r="K2338" t="s">
        <v>6</v>
      </c>
    </row>
    <row r="2339" spans="1:11">
      <c r="A2339" t="s">
        <v>2322</v>
      </c>
      <c r="B2339">
        <v>505460</v>
      </c>
      <c r="C2339" s="2" t="str">
        <f>"EMI-SP9W"</f>
        <v>EMI-SP9W</v>
      </c>
      <c r="D2339" t="s">
        <v>2375</v>
      </c>
      <c r="E2339" t="s">
        <v>4</v>
      </c>
      <c r="F2339">
        <v>22.27</v>
      </c>
      <c r="H2339" t="s">
        <v>5</v>
      </c>
      <c r="I2339" s="1">
        <v>118.75</v>
      </c>
      <c r="J2339" s="1">
        <v>115.86</v>
      </c>
      <c r="K2339" t="s">
        <v>6</v>
      </c>
    </row>
    <row r="2340" spans="1:11">
      <c r="A2340" t="s">
        <v>2322</v>
      </c>
      <c r="B2340">
        <v>505490</v>
      </c>
      <c r="C2340" s="2" t="str">
        <f>"EMI-ST10"</f>
        <v>EMI-ST10</v>
      </c>
      <c r="D2340" t="s">
        <v>2376</v>
      </c>
      <c r="E2340" t="s">
        <v>4</v>
      </c>
      <c r="F2340">
        <v>8</v>
      </c>
      <c r="H2340" t="s">
        <v>5</v>
      </c>
      <c r="I2340" s="1">
        <v>50.33</v>
      </c>
      <c r="J2340" s="1">
        <v>49.1</v>
      </c>
      <c r="K2340" t="s">
        <v>6</v>
      </c>
    </row>
    <row r="2341" spans="1:11">
      <c r="A2341" t="s">
        <v>2322</v>
      </c>
      <c r="B2341">
        <v>505446</v>
      </c>
      <c r="C2341" s="2" t="str">
        <f>"EMI-ST16"</f>
        <v>EMI-ST16</v>
      </c>
      <c r="D2341" t="s">
        <v>2377</v>
      </c>
      <c r="E2341" t="s">
        <v>4</v>
      </c>
      <c r="F2341">
        <v>12</v>
      </c>
      <c r="H2341" t="s">
        <v>5</v>
      </c>
      <c r="I2341" s="1">
        <v>87.37</v>
      </c>
      <c r="J2341" s="1">
        <v>85.24</v>
      </c>
      <c r="K2341" t="s">
        <v>6</v>
      </c>
    </row>
    <row r="2342" spans="1:11">
      <c r="A2342" t="s">
        <v>2322</v>
      </c>
      <c r="B2342">
        <v>505494</v>
      </c>
      <c r="C2342" s="2" t="str">
        <f>"EMI-SWG8"</f>
        <v>EMI-SWG8</v>
      </c>
      <c r="D2342" t="s">
        <v>2378</v>
      </c>
      <c r="E2342" t="s">
        <v>4</v>
      </c>
      <c r="F2342">
        <v>9</v>
      </c>
      <c r="H2342" t="s">
        <v>5</v>
      </c>
      <c r="I2342" s="1">
        <v>83.31</v>
      </c>
      <c r="J2342" s="1">
        <v>81.28</v>
      </c>
      <c r="K2342" t="s">
        <v>6</v>
      </c>
    </row>
    <row r="2343" spans="1:11">
      <c r="A2343" t="s">
        <v>2322</v>
      </c>
      <c r="B2343">
        <v>505474</v>
      </c>
      <c r="C2343" s="2" t="str">
        <f>"EMI-TRBP9B"</f>
        <v>EMI-TRBP9B</v>
      </c>
      <c r="D2343" t="s">
        <v>2379</v>
      </c>
      <c r="E2343" t="s">
        <v>4</v>
      </c>
      <c r="F2343">
        <v>16.5</v>
      </c>
      <c r="H2343" t="s">
        <v>5</v>
      </c>
      <c r="I2343" s="1">
        <v>132.09</v>
      </c>
      <c r="J2343" s="1">
        <v>128.87</v>
      </c>
      <c r="K2343" t="s">
        <v>6</v>
      </c>
    </row>
    <row r="2344" spans="1:11">
      <c r="A2344" t="s">
        <v>2322</v>
      </c>
      <c r="B2344">
        <v>536904</v>
      </c>
      <c r="C2344" s="2" t="str">
        <f>"EMI-TRP7C"</f>
        <v>EMI-TRP7C</v>
      </c>
      <c r="D2344" t="s">
        <v>2380</v>
      </c>
      <c r="E2344" t="s">
        <v>4</v>
      </c>
      <c r="F2344">
        <v>10.5</v>
      </c>
      <c r="H2344" t="s">
        <v>5</v>
      </c>
      <c r="I2344" s="1">
        <v>86.11</v>
      </c>
      <c r="J2344" s="1">
        <v>84.01</v>
      </c>
      <c r="K2344" t="s">
        <v>6</v>
      </c>
    </row>
    <row r="2345" spans="1:11">
      <c r="A2345" t="s">
        <v>2322</v>
      </c>
      <c r="B2345">
        <v>505478</v>
      </c>
      <c r="C2345" s="2" t="str">
        <f>"EMI-YCW6250C"</f>
        <v>EMI-YCW6250C</v>
      </c>
      <c r="D2345" t="s">
        <v>2381</v>
      </c>
      <c r="E2345" t="s">
        <v>4</v>
      </c>
      <c r="F2345">
        <v>9</v>
      </c>
      <c r="H2345" t="s">
        <v>5</v>
      </c>
      <c r="I2345" s="1">
        <v>52.07</v>
      </c>
      <c r="J2345" s="1">
        <v>50.8</v>
      </c>
      <c r="K2345" t="s">
        <v>6</v>
      </c>
    </row>
    <row r="2346" spans="1:11">
      <c r="A2346" t="s">
        <v>2322</v>
      </c>
      <c r="B2346">
        <v>505479</v>
      </c>
      <c r="C2346" s="2" t="str">
        <f>"EMI-YCW9C"</f>
        <v>EMI-YCW9C</v>
      </c>
      <c r="D2346" t="s">
        <v>2382</v>
      </c>
      <c r="E2346" t="s">
        <v>4</v>
      </c>
      <c r="F2346">
        <v>22</v>
      </c>
      <c r="H2346" t="s">
        <v>5</v>
      </c>
      <c r="I2346" s="1">
        <v>96.89</v>
      </c>
      <c r="J2346" s="1">
        <v>94.52</v>
      </c>
      <c r="K2346" t="s">
        <v>6</v>
      </c>
    </row>
    <row r="2347" spans="1:11">
      <c r="A2347" t="s">
        <v>2322</v>
      </c>
      <c r="B2347">
        <v>505503</v>
      </c>
      <c r="C2347" s="2" t="str">
        <f>"EMI-YCWSG1"</f>
        <v>EMI-YCWSG1</v>
      </c>
      <c r="D2347" t="s">
        <v>2383</v>
      </c>
      <c r="E2347" t="s">
        <v>4</v>
      </c>
      <c r="F2347">
        <v>21</v>
      </c>
      <c r="H2347" t="s">
        <v>5</v>
      </c>
      <c r="I2347" s="1">
        <v>108.37</v>
      </c>
      <c r="J2347" s="1">
        <v>105.73</v>
      </c>
      <c r="K2347" t="s">
        <v>6</v>
      </c>
    </row>
    <row r="2348" spans="1:11">
      <c r="A2348" t="s">
        <v>2384</v>
      </c>
      <c r="B2348">
        <v>453650</v>
      </c>
      <c r="C2348" s="2" t="str">
        <f>"A71211"</f>
        <v>A71211</v>
      </c>
      <c r="D2348" t="s">
        <v>2385</v>
      </c>
      <c r="E2348" t="s">
        <v>4</v>
      </c>
      <c r="F2348">
        <v>11</v>
      </c>
      <c r="H2348" t="s">
        <v>5</v>
      </c>
      <c r="I2348" s="1">
        <v>25.64</v>
      </c>
      <c r="J2348" s="1">
        <v>25.14</v>
      </c>
      <c r="K2348" t="s">
        <v>6</v>
      </c>
    </row>
    <row r="2349" spans="1:11">
      <c r="A2349" t="s">
        <v>2384</v>
      </c>
      <c r="B2349">
        <v>453646</v>
      </c>
      <c r="C2349" s="2" t="str">
        <f>"A73105"</f>
        <v>A73105</v>
      </c>
      <c r="D2349" t="s">
        <v>2386</v>
      </c>
      <c r="E2349" t="s">
        <v>4</v>
      </c>
      <c r="F2349">
        <v>15</v>
      </c>
      <c r="H2349" t="s">
        <v>5</v>
      </c>
      <c r="I2349" s="1">
        <v>20.57</v>
      </c>
      <c r="J2349" s="1">
        <v>20.16</v>
      </c>
      <c r="K2349" t="s">
        <v>6</v>
      </c>
    </row>
    <row r="2350" spans="1:11">
      <c r="A2350" t="s">
        <v>2384</v>
      </c>
      <c r="B2350">
        <v>453648</v>
      </c>
      <c r="C2350" s="2" t="str">
        <f>"A73115"</f>
        <v>A73115</v>
      </c>
      <c r="D2350" t="s">
        <v>2387</v>
      </c>
      <c r="E2350" t="s">
        <v>4</v>
      </c>
      <c r="F2350">
        <v>15</v>
      </c>
      <c r="H2350" t="s">
        <v>5</v>
      </c>
      <c r="I2350" s="1">
        <v>20.46</v>
      </c>
      <c r="J2350" s="1">
        <v>20.059999999999999</v>
      </c>
      <c r="K2350" t="s">
        <v>6</v>
      </c>
    </row>
    <row r="2351" spans="1:11">
      <c r="A2351" t="s">
        <v>2384</v>
      </c>
      <c r="B2351">
        <v>453652</v>
      </c>
      <c r="C2351" s="2" t="str">
        <f>"A73160"</f>
        <v>A73160</v>
      </c>
      <c r="D2351" t="s">
        <v>2388</v>
      </c>
      <c r="E2351" t="s">
        <v>4</v>
      </c>
      <c r="F2351">
        <v>18</v>
      </c>
      <c r="H2351" t="s">
        <v>5</v>
      </c>
      <c r="I2351" s="1">
        <v>42.58</v>
      </c>
      <c r="J2351" s="1">
        <v>41.74</v>
      </c>
      <c r="K2351" t="s">
        <v>6</v>
      </c>
    </row>
    <row r="2352" spans="1:11">
      <c r="A2352" t="s">
        <v>2384</v>
      </c>
      <c r="B2352">
        <v>453288</v>
      </c>
      <c r="C2352" s="2" t="str">
        <f>"N9S240"</f>
        <v>N9S240</v>
      </c>
      <c r="D2352" t="s">
        <v>2389</v>
      </c>
      <c r="E2352" t="s">
        <v>4</v>
      </c>
      <c r="F2352">
        <v>18</v>
      </c>
      <c r="H2352" t="s">
        <v>5</v>
      </c>
      <c r="I2352" s="1">
        <v>72.209999999999994</v>
      </c>
      <c r="J2352" s="1">
        <v>70.8</v>
      </c>
      <c r="K2352" t="s">
        <v>6</v>
      </c>
    </row>
    <row r="2353" spans="1:11">
      <c r="A2353" t="s">
        <v>2384</v>
      </c>
      <c r="B2353">
        <v>453287</v>
      </c>
      <c r="C2353" s="2" t="str">
        <f>"N9S247"</f>
        <v>N9S247</v>
      </c>
      <c r="D2353" t="s">
        <v>2390</v>
      </c>
      <c r="E2353" t="s">
        <v>4</v>
      </c>
      <c r="F2353">
        <v>18</v>
      </c>
      <c r="H2353" t="s">
        <v>5</v>
      </c>
      <c r="I2353" s="1">
        <v>72.209999999999994</v>
      </c>
      <c r="J2353" s="1">
        <v>70.8</v>
      </c>
      <c r="K2353" t="s">
        <v>6</v>
      </c>
    </row>
    <row r="2354" spans="1:11">
      <c r="A2354" t="s">
        <v>2384</v>
      </c>
      <c r="B2354">
        <v>453285</v>
      </c>
      <c r="C2354" s="2" t="str">
        <f>"N9S257"</f>
        <v>N9S257</v>
      </c>
      <c r="D2354" t="s">
        <v>2391</v>
      </c>
      <c r="E2354" t="s">
        <v>4</v>
      </c>
      <c r="F2354">
        <v>18</v>
      </c>
      <c r="H2354" t="s">
        <v>5</v>
      </c>
      <c r="I2354" s="1">
        <v>72.209999999999994</v>
      </c>
      <c r="J2354" s="1">
        <v>70.8</v>
      </c>
      <c r="K2354" t="s">
        <v>6</v>
      </c>
    </row>
    <row r="2355" spans="1:11">
      <c r="A2355" t="s">
        <v>2384</v>
      </c>
      <c r="B2355">
        <v>453284</v>
      </c>
      <c r="C2355" s="2" t="str">
        <f>"N9S290"</f>
        <v>N9S290</v>
      </c>
      <c r="D2355" t="s">
        <v>2392</v>
      </c>
      <c r="E2355" t="s">
        <v>4</v>
      </c>
      <c r="F2355">
        <v>18</v>
      </c>
      <c r="H2355" t="s">
        <v>5</v>
      </c>
      <c r="I2355" s="1">
        <v>72.209999999999994</v>
      </c>
      <c r="J2355" s="1">
        <v>70.8</v>
      </c>
      <c r="K2355" t="s">
        <v>6</v>
      </c>
    </row>
    <row r="2356" spans="1:11">
      <c r="A2356" t="s">
        <v>2384</v>
      </c>
      <c r="B2356">
        <v>453286</v>
      </c>
      <c r="C2356" s="2" t="str">
        <f>"N9S299"</f>
        <v>N9S299</v>
      </c>
      <c r="D2356" t="s">
        <v>2393</v>
      </c>
      <c r="E2356" t="s">
        <v>4</v>
      </c>
      <c r="F2356">
        <v>18</v>
      </c>
      <c r="H2356" t="s">
        <v>5</v>
      </c>
      <c r="I2356" s="1">
        <v>72.209999999999994</v>
      </c>
      <c r="J2356" s="1">
        <v>70.8</v>
      </c>
      <c r="K2356" t="s">
        <v>6</v>
      </c>
    </row>
    <row r="2357" spans="1:11">
      <c r="A2357" t="s">
        <v>2384</v>
      </c>
      <c r="B2357">
        <v>453279</v>
      </c>
      <c r="C2357" s="2" t="str">
        <f>"N9S305"</f>
        <v>N9S305</v>
      </c>
      <c r="D2357" t="s">
        <v>2394</v>
      </c>
      <c r="E2357" t="s">
        <v>4</v>
      </c>
      <c r="F2357">
        <v>18</v>
      </c>
      <c r="H2357" t="s">
        <v>5</v>
      </c>
      <c r="I2357" s="1">
        <v>72.209999999999994</v>
      </c>
      <c r="J2357" s="1">
        <v>70.8</v>
      </c>
      <c r="K2357" t="s">
        <v>6</v>
      </c>
    </row>
    <row r="2358" spans="1:11">
      <c r="A2358" t="s">
        <v>2452</v>
      </c>
      <c r="B2358">
        <v>528071</v>
      </c>
      <c r="C2358" s="2" t="str">
        <f>"00084-CL"</f>
        <v>00084-CL</v>
      </c>
      <c r="D2358" t="s">
        <v>2453</v>
      </c>
      <c r="E2358" t="s">
        <v>4</v>
      </c>
      <c r="F2358">
        <v>12</v>
      </c>
      <c r="H2358" t="s">
        <v>5</v>
      </c>
      <c r="I2358" s="1">
        <v>80.290000000000006</v>
      </c>
      <c r="J2358" s="1">
        <v>72.260000000000005</v>
      </c>
      <c r="K2358" t="s">
        <v>6</v>
      </c>
    </row>
    <row r="2359" spans="1:11">
      <c r="A2359" t="s">
        <v>2452</v>
      </c>
      <c r="B2359">
        <v>543006</v>
      </c>
      <c r="C2359" s="2" t="str">
        <f>"00086-1-SAN-CL"</f>
        <v>00086-1-SAN-CL</v>
      </c>
      <c r="D2359" t="s">
        <v>2454</v>
      </c>
      <c r="E2359" t="s">
        <v>4</v>
      </c>
      <c r="F2359">
        <v>14</v>
      </c>
      <c r="H2359" t="s">
        <v>5</v>
      </c>
      <c r="I2359" s="1">
        <v>92.5</v>
      </c>
      <c r="J2359" s="1">
        <v>83.25</v>
      </c>
      <c r="K2359" t="s">
        <v>6</v>
      </c>
    </row>
    <row r="2360" spans="1:11">
      <c r="A2360" t="s">
        <v>2452</v>
      </c>
      <c r="B2360">
        <v>534405</v>
      </c>
      <c r="C2360" s="2" t="str">
        <f>"6605-1-6-CL"</f>
        <v>6605-1-6-CL</v>
      </c>
      <c r="D2360" t="s">
        <v>2455</v>
      </c>
      <c r="E2360" t="s">
        <v>4</v>
      </c>
      <c r="F2360">
        <v>8</v>
      </c>
      <c r="H2360" t="s">
        <v>5</v>
      </c>
      <c r="I2360" s="1">
        <v>38.65</v>
      </c>
      <c r="J2360" s="1">
        <v>34.78</v>
      </c>
      <c r="K2360" t="s">
        <v>6</v>
      </c>
    </row>
    <row r="2361" spans="1:11">
      <c r="A2361" t="s">
        <v>2452</v>
      </c>
      <c r="B2361">
        <v>534407</v>
      </c>
      <c r="C2361" s="2" t="str">
        <f>"6608-1-6-CL"</f>
        <v>6608-1-6-CL</v>
      </c>
      <c r="D2361" t="s">
        <v>2456</v>
      </c>
      <c r="E2361" t="s">
        <v>4</v>
      </c>
      <c r="F2361">
        <v>10</v>
      </c>
      <c r="H2361" t="s">
        <v>5</v>
      </c>
      <c r="I2361" s="1">
        <v>48.15</v>
      </c>
      <c r="J2361" s="1">
        <v>43.34</v>
      </c>
      <c r="K2361" t="s">
        <v>6</v>
      </c>
    </row>
    <row r="2362" spans="1:11">
      <c r="A2362" t="s">
        <v>2452</v>
      </c>
      <c r="B2362">
        <v>528072</v>
      </c>
      <c r="C2362" s="2" t="str">
        <f>"6609-6-CL"</f>
        <v>6609-6-CL</v>
      </c>
      <c r="D2362" t="s">
        <v>2457</v>
      </c>
      <c r="E2362" t="s">
        <v>4</v>
      </c>
      <c r="F2362">
        <v>11</v>
      </c>
      <c r="H2362" t="s">
        <v>5</v>
      </c>
      <c r="I2362" s="1">
        <v>56.16</v>
      </c>
      <c r="J2362" s="1">
        <v>50.54</v>
      </c>
      <c r="K2362" t="s">
        <v>6</v>
      </c>
    </row>
    <row r="2363" spans="1:11">
      <c r="A2363" t="s">
        <v>2452</v>
      </c>
      <c r="B2363">
        <v>534411</v>
      </c>
      <c r="C2363" s="2" t="str">
        <f>"66121-2-BL"</f>
        <v>66121-2-BL</v>
      </c>
      <c r="D2363" t="s">
        <v>2458</v>
      </c>
      <c r="E2363" t="s">
        <v>4</v>
      </c>
      <c r="F2363">
        <v>5</v>
      </c>
      <c r="H2363" t="s">
        <v>5</v>
      </c>
      <c r="I2363" s="1">
        <v>21</v>
      </c>
      <c r="J2363" s="1">
        <v>18.899999999999999</v>
      </c>
      <c r="K2363" t="s">
        <v>6</v>
      </c>
    </row>
    <row r="2364" spans="1:11">
      <c r="A2364" t="s">
        <v>2452</v>
      </c>
      <c r="B2364">
        <v>531378</v>
      </c>
      <c r="C2364" s="2" t="str">
        <f>"6612-1-6-CL"</f>
        <v>6612-1-6-CL</v>
      </c>
      <c r="D2364" t="s">
        <v>2459</v>
      </c>
      <c r="E2364" t="s">
        <v>4</v>
      </c>
      <c r="F2364">
        <v>15</v>
      </c>
      <c r="H2364" t="s">
        <v>5</v>
      </c>
      <c r="I2364" s="1">
        <v>57.44</v>
      </c>
      <c r="J2364" s="1">
        <v>51.7</v>
      </c>
      <c r="K2364" t="s">
        <v>6</v>
      </c>
    </row>
    <row r="2365" spans="1:11">
      <c r="A2365" t="s">
        <v>2452</v>
      </c>
      <c r="B2365">
        <v>528073</v>
      </c>
      <c r="C2365" s="2" t="str">
        <f>"6612-1-CL"</f>
        <v>6612-1-CL</v>
      </c>
      <c r="D2365" t="s">
        <v>2460</v>
      </c>
      <c r="E2365" t="s">
        <v>4</v>
      </c>
      <c r="F2365">
        <v>5</v>
      </c>
      <c r="H2365" t="s">
        <v>5</v>
      </c>
      <c r="I2365" s="1">
        <v>21</v>
      </c>
      <c r="J2365" s="1">
        <v>18.899999999999999</v>
      </c>
      <c r="K2365" t="s">
        <v>6</v>
      </c>
    </row>
    <row r="2366" spans="1:11">
      <c r="A2366" t="s">
        <v>2452</v>
      </c>
      <c r="B2366">
        <v>531357</v>
      </c>
      <c r="C2366" s="2" t="str">
        <f>"6612-2-A"</f>
        <v>6612-2-A</v>
      </c>
      <c r="D2366" t="s">
        <v>2461</v>
      </c>
      <c r="E2366" t="s">
        <v>4</v>
      </c>
      <c r="F2366">
        <v>5</v>
      </c>
      <c r="H2366" t="s">
        <v>5</v>
      </c>
      <c r="I2366" s="1">
        <v>21</v>
      </c>
      <c r="J2366" s="1">
        <v>18.899999999999999</v>
      </c>
      <c r="K2366" t="s">
        <v>6</v>
      </c>
    </row>
    <row r="2367" spans="1:11">
      <c r="A2367" t="s">
        <v>2452</v>
      </c>
      <c r="B2367">
        <v>531371</v>
      </c>
      <c r="C2367" s="2" t="str">
        <f>"6612-2-R"</f>
        <v>6612-2-R</v>
      </c>
      <c r="D2367" t="s">
        <v>2462</v>
      </c>
      <c r="E2367" t="s">
        <v>4</v>
      </c>
      <c r="F2367">
        <v>5</v>
      </c>
      <c r="H2367" t="s">
        <v>5</v>
      </c>
      <c r="I2367" s="1">
        <v>21</v>
      </c>
      <c r="J2367" s="1">
        <v>18.899999999999999</v>
      </c>
      <c r="K2367" t="s">
        <v>6</v>
      </c>
    </row>
    <row r="2368" spans="1:11">
      <c r="A2368" t="s">
        <v>2452</v>
      </c>
      <c r="B2368">
        <v>528074</v>
      </c>
      <c r="C2368" s="2" t="str">
        <f>"6612-6-A"</f>
        <v>6612-6-A</v>
      </c>
      <c r="D2368" t="s">
        <v>2463</v>
      </c>
      <c r="E2368" t="s">
        <v>4</v>
      </c>
      <c r="F2368">
        <v>15</v>
      </c>
      <c r="H2368" t="s">
        <v>5</v>
      </c>
      <c r="I2368" s="1">
        <v>57.44</v>
      </c>
      <c r="J2368" s="1">
        <v>51.7</v>
      </c>
      <c r="K2368" t="s">
        <v>6</v>
      </c>
    </row>
    <row r="2369" spans="1:11">
      <c r="A2369" t="s">
        <v>2452</v>
      </c>
      <c r="B2369">
        <v>531379</v>
      </c>
      <c r="C2369" s="2" t="str">
        <f>"6612-6-R"</f>
        <v>6612-6-R</v>
      </c>
      <c r="D2369" t="s">
        <v>2464</v>
      </c>
      <c r="E2369" t="s">
        <v>4</v>
      </c>
      <c r="F2369">
        <v>15</v>
      </c>
      <c r="H2369" t="s">
        <v>5</v>
      </c>
      <c r="I2369" s="1">
        <v>57.44</v>
      </c>
      <c r="J2369" s="1">
        <v>51.7</v>
      </c>
      <c r="K2369" t="s">
        <v>6</v>
      </c>
    </row>
    <row r="2370" spans="1:11">
      <c r="A2370" t="s">
        <v>2452</v>
      </c>
      <c r="B2370">
        <v>531383</v>
      </c>
      <c r="C2370" s="2" t="str">
        <f>"6616-1-CL"</f>
        <v>6616-1-CL</v>
      </c>
      <c r="D2370" t="s">
        <v>2465</v>
      </c>
      <c r="E2370" t="s">
        <v>4</v>
      </c>
      <c r="F2370">
        <v>6</v>
      </c>
      <c r="H2370" t="s">
        <v>5</v>
      </c>
      <c r="I2370" s="1">
        <v>24.29</v>
      </c>
      <c r="J2370" s="1">
        <v>21.86</v>
      </c>
      <c r="K2370" t="s">
        <v>6</v>
      </c>
    </row>
    <row r="2371" spans="1:11">
      <c r="A2371" t="s">
        <v>2452</v>
      </c>
      <c r="B2371">
        <v>531380</v>
      </c>
      <c r="C2371" s="2" t="str">
        <f>"6616-2-A"</f>
        <v>6616-2-A</v>
      </c>
      <c r="D2371" t="s">
        <v>2466</v>
      </c>
      <c r="E2371" t="s">
        <v>4</v>
      </c>
      <c r="F2371">
        <v>6</v>
      </c>
      <c r="H2371" t="s">
        <v>5</v>
      </c>
      <c r="I2371" s="1">
        <v>24.29</v>
      </c>
      <c r="J2371" s="1">
        <v>21.86</v>
      </c>
      <c r="K2371" t="s">
        <v>6</v>
      </c>
    </row>
    <row r="2372" spans="1:11">
      <c r="A2372" t="s">
        <v>2452</v>
      </c>
      <c r="B2372">
        <v>531382</v>
      </c>
      <c r="C2372" s="2" t="str">
        <f>"6616-2-BLU"</f>
        <v>6616-2-BLU</v>
      </c>
      <c r="D2372" t="s">
        <v>2467</v>
      </c>
      <c r="E2372" t="s">
        <v>4</v>
      </c>
      <c r="F2372">
        <v>6</v>
      </c>
      <c r="H2372" t="s">
        <v>5</v>
      </c>
      <c r="I2372" s="1">
        <v>24.29</v>
      </c>
      <c r="J2372" s="1">
        <v>21.86</v>
      </c>
      <c r="K2372" t="s">
        <v>6</v>
      </c>
    </row>
    <row r="2373" spans="1:11">
      <c r="A2373" t="s">
        <v>2452</v>
      </c>
      <c r="B2373">
        <v>531386</v>
      </c>
      <c r="C2373" s="2" t="str">
        <f>"6616-2-R"</f>
        <v>6616-2-R</v>
      </c>
      <c r="D2373" t="s">
        <v>2468</v>
      </c>
      <c r="E2373" t="s">
        <v>4</v>
      </c>
      <c r="F2373">
        <v>6</v>
      </c>
      <c r="H2373" t="s">
        <v>5</v>
      </c>
      <c r="I2373" s="1">
        <v>24.29</v>
      </c>
      <c r="J2373" s="1">
        <v>21.86</v>
      </c>
      <c r="K2373" t="s">
        <v>6</v>
      </c>
    </row>
    <row r="2374" spans="1:11">
      <c r="A2374" t="s">
        <v>2452</v>
      </c>
      <c r="B2374">
        <v>528075</v>
      </c>
      <c r="C2374" s="2" t="str">
        <f>"6616-6-A"</f>
        <v>6616-6-A</v>
      </c>
      <c r="D2374" t="s">
        <v>2469</v>
      </c>
      <c r="E2374" t="s">
        <v>4</v>
      </c>
      <c r="F2374">
        <v>18</v>
      </c>
      <c r="H2374" t="s">
        <v>5</v>
      </c>
      <c r="I2374" s="1">
        <v>65.48</v>
      </c>
      <c r="J2374" s="1">
        <v>58.94</v>
      </c>
      <c r="K2374" t="s">
        <v>6</v>
      </c>
    </row>
    <row r="2375" spans="1:11">
      <c r="A2375" t="s">
        <v>2452</v>
      </c>
      <c r="B2375">
        <v>528076</v>
      </c>
      <c r="C2375" s="2" t="str">
        <f>"6616-6-CL"</f>
        <v>6616-6-CL</v>
      </c>
      <c r="D2375" t="s">
        <v>2470</v>
      </c>
      <c r="E2375" t="s">
        <v>4</v>
      </c>
      <c r="F2375">
        <v>18</v>
      </c>
      <c r="H2375" t="s">
        <v>5</v>
      </c>
      <c r="I2375" s="1">
        <v>65.48</v>
      </c>
      <c r="J2375" s="1">
        <v>58.94</v>
      </c>
      <c r="K2375" t="s">
        <v>6</v>
      </c>
    </row>
    <row r="2376" spans="1:11">
      <c r="A2376" t="s">
        <v>2452</v>
      </c>
      <c r="B2376">
        <v>528077</v>
      </c>
      <c r="C2376" s="2" t="str">
        <f>"6616-6-R"</f>
        <v>6616-6-R</v>
      </c>
      <c r="D2376" t="s">
        <v>2471</v>
      </c>
      <c r="E2376" t="s">
        <v>4</v>
      </c>
      <c r="F2376">
        <v>18</v>
      </c>
      <c r="H2376" t="s">
        <v>5</v>
      </c>
      <c r="I2376" s="1">
        <v>65.48</v>
      </c>
      <c r="J2376" s="1">
        <v>58.94</v>
      </c>
      <c r="K2376" t="s">
        <v>6</v>
      </c>
    </row>
    <row r="2377" spans="1:11">
      <c r="A2377" t="s">
        <v>2452</v>
      </c>
      <c r="B2377">
        <v>531394</v>
      </c>
      <c r="C2377" s="2" t="str">
        <f>"6620-1-2-CL"</f>
        <v>6620-1-2-CL</v>
      </c>
      <c r="D2377" t="s">
        <v>2472</v>
      </c>
      <c r="E2377" t="s">
        <v>4</v>
      </c>
      <c r="F2377">
        <v>7</v>
      </c>
      <c r="H2377" t="s">
        <v>5</v>
      </c>
      <c r="I2377" s="1">
        <v>35.380000000000003</v>
      </c>
      <c r="J2377" s="1">
        <v>31.84</v>
      </c>
      <c r="K2377" t="s">
        <v>6</v>
      </c>
    </row>
    <row r="2378" spans="1:11">
      <c r="A2378" t="s">
        <v>2452</v>
      </c>
      <c r="B2378">
        <v>528079</v>
      </c>
      <c r="C2378" s="2" t="str">
        <f>"6620-1-6-CL"</f>
        <v>6620-1-6-CL</v>
      </c>
      <c r="D2378" t="s">
        <v>2473</v>
      </c>
      <c r="E2378" t="s">
        <v>4</v>
      </c>
      <c r="F2378">
        <v>22</v>
      </c>
      <c r="H2378" t="s">
        <v>5</v>
      </c>
      <c r="I2378" s="1">
        <v>98.57</v>
      </c>
      <c r="J2378" s="1">
        <v>88.72</v>
      </c>
      <c r="K2378" t="s">
        <v>6</v>
      </c>
    </row>
    <row r="2379" spans="1:11">
      <c r="A2379" t="s">
        <v>2452</v>
      </c>
      <c r="B2379">
        <v>531390</v>
      </c>
      <c r="C2379" s="2" t="str">
        <f>"6620-2-BLU"</f>
        <v>6620-2-BLU</v>
      </c>
      <c r="D2379" t="s">
        <v>2474</v>
      </c>
      <c r="E2379" t="s">
        <v>4</v>
      </c>
      <c r="F2379">
        <v>7</v>
      </c>
      <c r="H2379" t="s">
        <v>5</v>
      </c>
      <c r="I2379" s="1">
        <v>35.380000000000003</v>
      </c>
      <c r="J2379" s="1">
        <v>31.84</v>
      </c>
      <c r="K2379" t="s">
        <v>6</v>
      </c>
    </row>
    <row r="2380" spans="1:11">
      <c r="A2380" t="s">
        <v>2452</v>
      </c>
      <c r="B2380">
        <v>531397</v>
      </c>
      <c r="C2380" s="2" t="str">
        <f>"6620-2-R"</f>
        <v>6620-2-R</v>
      </c>
      <c r="D2380" t="s">
        <v>2475</v>
      </c>
      <c r="E2380" t="s">
        <v>4</v>
      </c>
      <c r="F2380">
        <v>7</v>
      </c>
      <c r="H2380" t="s">
        <v>5</v>
      </c>
      <c r="I2380" s="1">
        <v>35.380000000000003</v>
      </c>
      <c r="J2380" s="1">
        <v>31.84</v>
      </c>
      <c r="K2380" t="s">
        <v>6</v>
      </c>
    </row>
    <row r="2381" spans="1:11">
      <c r="A2381" t="s">
        <v>2452</v>
      </c>
      <c r="B2381">
        <v>528078</v>
      </c>
      <c r="C2381" s="2" t="str">
        <f>"6620-6-A"</f>
        <v>6620-6-A</v>
      </c>
      <c r="D2381" t="s">
        <v>2476</v>
      </c>
      <c r="E2381" t="s">
        <v>4</v>
      </c>
      <c r="F2381">
        <v>22</v>
      </c>
      <c r="H2381" t="s">
        <v>5</v>
      </c>
      <c r="I2381" s="1">
        <v>98.57</v>
      </c>
      <c r="J2381" s="1">
        <v>88.72</v>
      </c>
      <c r="K2381" t="s">
        <v>6</v>
      </c>
    </row>
    <row r="2382" spans="1:11">
      <c r="A2382" t="s">
        <v>2452</v>
      </c>
      <c r="B2382">
        <v>528080</v>
      </c>
      <c r="C2382" s="2" t="str">
        <f>"6620-6-R"</f>
        <v>6620-6-R</v>
      </c>
      <c r="D2382" t="s">
        <v>2477</v>
      </c>
      <c r="E2382" t="s">
        <v>4</v>
      </c>
      <c r="F2382">
        <v>22</v>
      </c>
      <c r="H2382" t="s">
        <v>5</v>
      </c>
      <c r="I2382" s="1">
        <v>98.57</v>
      </c>
      <c r="J2382" s="1">
        <v>88.72</v>
      </c>
      <c r="K2382" t="s">
        <v>6</v>
      </c>
    </row>
    <row r="2383" spans="1:11">
      <c r="A2383" t="s">
        <v>2452</v>
      </c>
      <c r="B2383">
        <v>531400</v>
      </c>
      <c r="C2383" s="2" t="str">
        <f>"6624-2-R"</f>
        <v>6624-2-R</v>
      </c>
      <c r="D2383" t="s">
        <v>2478</v>
      </c>
      <c r="E2383" t="s">
        <v>4</v>
      </c>
      <c r="F2383">
        <v>8</v>
      </c>
      <c r="H2383" t="s">
        <v>5</v>
      </c>
      <c r="I2383" s="1">
        <v>43.22</v>
      </c>
      <c r="J2383" s="1">
        <v>38.9</v>
      </c>
      <c r="K2383" t="s">
        <v>6</v>
      </c>
    </row>
    <row r="2384" spans="1:11">
      <c r="A2384" t="s">
        <v>2452</v>
      </c>
      <c r="B2384">
        <v>528081</v>
      </c>
      <c r="C2384" s="2" t="str">
        <f>"6624-6-R"</f>
        <v>6624-6-R</v>
      </c>
      <c r="D2384" t="s">
        <v>2479</v>
      </c>
      <c r="E2384" t="s">
        <v>4</v>
      </c>
      <c r="F2384">
        <v>24</v>
      </c>
      <c r="H2384" t="s">
        <v>5</v>
      </c>
      <c r="I2384" s="1">
        <v>117.37</v>
      </c>
      <c r="J2384" s="1">
        <v>105.63</v>
      </c>
      <c r="K2384" t="s">
        <v>6</v>
      </c>
    </row>
    <row r="2385" spans="1:11">
      <c r="A2385" t="s">
        <v>2452</v>
      </c>
      <c r="B2385">
        <v>531402</v>
      </c>
      <c r="C2385" s="2" t="str">
        <f>"6632-1-2-CL"</f>
        <v>6632-1-2-CL</v>
      </c>
      <c r="D2385" t="s">
        <v>2480</v>
      </c>
      <c r="E2385" t="s">
        <v>4</v>
      </c>
      <c r="F2385">
        <v>9</v>
      </c>
      <c r="H2385" t="s">
        <v>5</v>
      </c>
      <c r="I2385" s="1">
        <v>45.28</v>
      </c>
      <c r="J2385" s="1">
        <v>40.75</v>
      </c>
      <c r="K2385" t="s">
        <v>6</v>
      </c>
    </row>
    <row r="2386" spans="1:11">
      <c r="A2386" t="s">
        <v>2452</v>
      </c>
      <c r="B2386">
        <v>528083</v>
      </c>
      <c r="C2386" s="2" t="str">
        <f>"6632-1-4-CL"</f>
        <v>6632-1-4-CL</v>
      </c>
      <c r="D2386" t="s">
        <v>2481</v>
      </c>
      <c r="E2386" t="s">
        <v>4</v>
      </c>
      <c r="F2386">
        <v>19</v>
      </c>
      <c r="H2386" t="s">
        <v>5</v>
      </c>
      <c r="I2386" s="1">
        <v>82.31</v>
      </c>
      <c r="J2386" s="1">
        <v>74.08</v>
      </c>
      <c r="K2386" t="s">
        <v>6</v>
      </c>
    </row>
    <row r="2387" spans="1:11">
      <c r="A2387" t="s">
        <v>2452</v>
      </c>
      <c r="B2387">
        <v>530444</v>
      </c>
      <c r="C2387" s="2" t="str">
        <f>"6632-4-BLU"</f>
        <v>6632-4-BLU</v>
      </c>
      <c r="D2387" t="s">
        <v>2482</v>
      </c>
      <c r="E2387" t="s">
        <v>4</v>
      </c>
      <c r="F2387">
        <v>19</v>
      </c>
      <c r="H2387" t="s">
        <v>5</v>
      </c>
      <c r="I2387" s="1">
        <v>82.31</v>
      </c>
      <c r="J2387" s="1">
        <v>74.08</v>
      </c>
      <c r="K2387" t="s">
        <v>6</v>
      </c>
    </row>
    <row r="2388" spans="1:11">
      <c r="A2388" t="s">
        <v>2452</v>
      </c>
      <c r="B2388">
        <v>531403</v>
      </c>
      <c r="C2388" s="2" t="str">
        <f>"6695-2-CL"</f>
        <v>6695-2-CL</v>
      </c>
      <c r="D2388" t="s">
        <v>2483</v>
      </c>
      <c r="E2388" t="s">
        <v>4</v>
      </c>
      <c r="F2388">
        <v>3</v>
      </c>
      <c r="H2388" t="s">
        <v>5</v>
      </c>
      <c r="I2388" s="1">
        <v>20.37</v>
      </c>
      <c r="J2388" s="1">
        <v>18.329999999999998</v>
      </c>
      <c r="K2388" t="s">
        <v>6</v>
      </c>
    </row>
    <row r="2389" spans="1:11">
      <c r="A2389" t="s">
        <v>2452</v>
      </c>
      <c r="B2389">
        <v>534408</v>
      </c>
      <c r="C2389" s="2" t="str">
        <f>"6695-6-A"</f>
        <v>6695-6-A</v>
      </c>
      <c r="D2389" t="s">
        <v>2484</v>
      </c>
      <c r="E2389" t="s">
        <v>4</v>
      </c>
      <c r="F2389">
        <v>11</v>
      </c>
      <c r="H2389" t="s">
        <v>5</v>
      </c>
      <c r="I2389" s="1">
        <v>56.16</v>
      </c>
      <c r="J2389" s="1">
        <v>50.54</v>
      </c>
      <c r="K2389" t="s">
        <v>6</v>
      </c>
    </row>
    <row r="2390" spans="1:11">
      <c r="A2390" t="s">
        <v>2452</v>
      </c>
      <c r="B2390">
        <v>534410</v>
      </c>
      <c r="C2390" s="2" t="str">
        <f>"6695-6-B"</f>
        <v>6695-6-B</v>
      </c>
      <c r="D2390" t="s">
        <v>2485</v>
      </c>
      <c r="E2390" t="s">
        <v>4</v>
      </c>
      <c r="F2390">
        <v>11</v>
      </c>
      <c r="H2390" t="s">
        <v>5</v>
      </c>
      <c r="I2390" s="1">
        <v>56.16</v>
      </c>
      <c r="J2390" s="1">
        <v>50.54</v>
      </c>
      <c r="K2390" t="s">
        <v>6</v>
      </c>
    </row>
    <row r="2391" spans="1:11">
      <c r="A2391" t="s">
        <v>2452</v>
      </c>
      <c r="B2391">
        <v>528085</v>
      </c>
      <c r="C2391" s="2" t="str">
        <f>"6695-6-CL"</f>
        <v>6695-6-CL</v>
      </c>
      <c r="D2391" t="s">
        <v>2486</v>
      </c>
      <c r="E2391" t="s">
        <v>4</v>
      </c>
      <c r="F2391">
        <v>11</v>
      </c>
      <c r="H2391" t="s">
        <v>5</v>
      </c>
      <c r="I2391" s="1">
        <v>56.16</v>
      </c>
      <c r="J2391" s="1">
        <v>50.54</v>
      </c>
      <c r="K2391" t="s">
        <v>6</v>
      </c>
    </row>
    <row r="2392" spans="1:11">
      <c r="A2392" t="s">
        <v>2452</v>
      </c>
      <c r="B2392">
        <v>531317</v>
      </c>
      <c r="C2392" s="2" t="str">
        <f>"8812-1-CL"</f>
        <v>8812-1-CL</v>
      </c>
      <c r="D2392" t="s">
        <v>2487</v>
      </c>
      <c r="E2392" t="s">
        <v>4</v>
      </c>
      <c r="F2392">
        <v>14</v>
      </c>
      <c r="H2392" t="s">
        <v>5</v>
      </c>
      <c r="I2392" s="1">
        <v>77.260000000000005</v>
      </c>
      <c r="J2392" s="1">
        <v>69.53</v>
      </c>
      <c r="K2392" t="s">
        <v>6</v>
      </c>
    </row>
    <row r="2393" spans="1:11">
      <c r="A2393" t="s">
        <v>2452</v>
      </c>
      <c r="B2393">
        <v>528086</v>
      </c>
      <c r="C2393" s="2" t="str">
        <f>"8816-CL"</f>
        <v>8816-CL</v>
      </c>
      <c r="D2393" t="s">
        <v>2470</v>
      </c>
      <c r="E2393" t="s">
        <v>4</v>
      </c>
      <c r="F2393">
        <v>18</v>
      </c>
      <c r="H2393" t="s">
        <v>5</v>
      </c>
      <c r="I2393" s="1">
        <v>91.52</v>
      </c>
      <c r="J2393" s="1">
        <v>82.36</v>
      </c>
      <c r="K2393" t="s">
        <v>6</v>
      </c>
    </row>
    <row r="2394" spans="1:11">
      <c r="A2394" t="s">
        <v>2452</v>
      </c>
      <c r="B2394">
        <v>531320</v>
      </c>
      <c r="C2394" s="2" t="str">
        <f>"8820-CL"</f>
        <v>8820-CL</v>
      </c>
      <c r="D2394" t="s">
        <v>2488</v>
      </c>
      <c r="E2394" t="s">
        <v>4</v>
      </c>
      <c r="F2394">
        <v>19</v>
      </c>
      <c r="H2394" t="s">
        <v>5</v>
      </c>
      <c r="I2394" s="1">
        <v>108.7</v>
      </c>
      <c r="J2394" s="1">
        <v>97.83</v>
      </c>
      <c r="K2394" t="s">
        <v>6</v>
      </c>
    </row>
    <row r="2395" spans="1:11">
      <c r="A2395" t="s">
        <v>2452</v>
      </c>
      <c r="B2395">
        <v>528871</v>
      </c>
      <c r="C2395" s="2" t="str">
        <f>"9909-CL"</f>
        <v>9909-CL</v>
      </c>
      <c r="D2395" t="s">
        <v>2489</v>
      </c>
      <c r="E2395" t="s">
        <v>4</v>
      </c>
      <c r="F2395">
        <v>20</v>
      </c>
      <c r="H2395" t="s">
        <v>5</v>
      </c>
      <c r="I2395" s="1">
        <v>127.86</v>
      </c>
      <c r="J2395" s="1">
        <v>115.07</v>
      </c>
      <c r="K2395" t="s">
        <v>6</v>
      </c>
    </row>
    <row r="2396" spans="1:11">
      <c r="A2396" t="s">
        <v>2452</v>
      </c>
      <c r="B2396">
        <v>544707</v>
      </c>
      <c r="C2396" s="2" t="str">
        <f>"9910-1-CL"</f>
        <v>9910-1-CL</v>
      </c>
      <c r="D2396" t="s">
        <v>2490</v>
      </c>
      <c r="E2396" t="s">
        <v>4</v>
      </c>
      <c r="F2396">
        <v>24</v>
      </c>
      <c r="H2396" t="s">
        <v>5</v>
      </c>
      <c r="I2396" s="1">
        <v>131.59</v>
      </c>
      <c r="J2396" s="1">
        <v>118.43</v>
      </c>
      <c r="K2396" t="s">
        <v>6</v>
      </c>
    </row>
    <row r="2397" spans="1:11">
      <c r="A2397" t="s">
        <v>2452</v>
      </c>
      <c r="B2397">
        <v>528872</v>
      </c>
      <c r="C2397" s="2" t="str">
        <f>"9912-CL"</f>
        <v>9912-CL</v>
      </c>
      <c r="D2397" t="s">
        <v>2491</v>
      </c>
      <c r="E2397" t="s">
        <v>4</v>
      </c>
      <c r="F2397">
        <v>23</v>
      </c>
      <c r="H2397" t="s">
        <v>5</v>
      </c>
      <c r="I2397" s="1">
        <v>141.57</v>
      </c>
      <c r="J2397" s="1">
        <v>127.41</v>
      </c>
      <c r="K2397" t="s">
        <v>6</v>
      </c>
    </row>
    <row r="2398" spans="1:11">
      <c r="A2398" t="s">
        <v>2452</v>
      </c>
      <c r="B2398">
        <v>531259</v>
      </c>
      <c r="C2398" s="2" t="str">
        <f>"9914-CL"</f>
        <v>9914-CL</v>
      </c>
      <c r="D2398" t="s">
        <v>2492</v>
      </c>
      <c r="E2398" t="s">
        <v>4</v>
      </c>
      <c r="F2398">
        <v>29</v>
      </c>
      <c r="H2398" t="s">
        <v>5</v>
      </c>
      <c r="I2398" s="1">
        <v>155.21</v>
      </c>
      <c r="J2398" s="1">
        <v>139.69</v>
      </c>
      <c r="K2398" t="s">
        <v>6</v>
      </c>
    </row>
    <row r="2399" spans="1:11">
      <c r="A2399" t="s">
        <v>2452</v>
      </c>
      <c r="B2399">
        <v>528869</v>
      </c>
      <c r="C2399" s="2" t="str">
        <f>"9916-CL"</f>
        <v>9916-CL</v>
      </c>
      <c r="D2399" t="s">
        <v>2493</v>
      </c>
      <c r="E2399" t="s">
        <v>4</v>
      </c>
      <c r="F2399">
        <v>30</v>
      </c>
      <c r="H2399" t="s">
        <v>5</v>
      </c>
      <c r="I2399" s="1">
        <v>164.39</v>
      </c>
      <c r="J2399" s="1">
        <v>147.94999999999999</v>
      </c>
      <c r="K2399" t="s">
        <v>6</v>
      </c>
    </row>
    <row r="2400" spans="1:11">
      <c r="A2400" t="s">
        <v>2452</v>
      </c>
      <c r="B2400">
        <v>528870</v>
      </c>
      <c r="C2400" s="2" t="str">
        <f>"9920-CL"</f>
        <v>9920-CL</v>
      </c>
      <c r="D2400" t="s">
        <v>2494</v>
      </c>
      <c r="E2400" t="s">
        <v>4</v>
      </c>
      <c r="F2400">
        <v>31</v>
      </c>
      <c r="H2400" t="s">
        <v>5</v>
      </c>
      <c r="I2400" s="1">
        <v>175.83</v>
      </c>
      <c r="J2400" s="1">
        <v>158.25</v>
      </c>
      <c r="K2400" t="s">
        <v>6</v>
      </c>
    </row>
    <row r="2401" spans="1:11">
      <c r="A2401" t="s">
        <v>2452</v>
      </c>
      <c r="B2401">
        <v>549671</v>
      </c>
      <c r="C2401" s="2" t="str">
        <f>"9955-BL"</f>
        <v>9955-BL</v>
      </c>
      <c r="D2401" t="s">
        <v>2495</v>
      </c>
      <c r="E2401" t="s">
        <v>4</v>
      </c>
      <c r="F2401">
        <v>13</v>
      </c>
      <c r="H2401" t="s">
        <v>5</v>
      </c>
      <c r="I2401" s="1">
        <v>117.15</v>
      </c>
      <c r="J2401" s="1">
        <v>105.43</v>
      </c>
      <c r="K2401" t="s">
        <v>6</v>
      </c>
    </row>
    <row r="2402" spans="1:11">
      <c r="A2402" t="s">
        <v>2452</v>
      </c>
      <c r="B2402">
        <v>528873</v>
      </c>
      <c r="C2402" s="2" t="str">
        <f>"9955-CL"</f>
        <v>9955-CL</v>
      </c>
      <c r="D2402" t="s">
        <v>2496</v>
      </c>
      <c r="E2402" t="s">
        <v>4</v>
      </c>
      <c r="F2402">
        <v>13</v>
      </c>
      <c r="H2402" t="s">
        <v>5</v>
      </c>
      <c r="I2402" s="1">
        <v>117.15</v>
      </c>
      <c r="J2402" s="1">
        <v>105.43</v>
      </c>
      <c r="K2402" t="s">
        <v>6</v>
      </c>
    </row>
    <row r="2403" spans="1:11">
      <c r="A2403" t="s">
        <v>2452</v>
      </c>
      <c r="B2403">
        <v>528087</v>
      </c>
      <c r="C2403" s="2" t="str">
        <f>"B-139-BK"</f>
        <v>B-139-BK</v>
      </c>
      <c r="D2403" t="s">
        <v>2497</v>
      </c>
      <c r="E2403" t="s">
        <v>4</v>
      </c>
      <c r="F2403">
        <v>18</v>
      </c>
      <c r="H2403" t="s">
        <v>5</v>
      </c>
      <c r="I2403" s="1">
        <v>181.94</v>
      </c>
      <c r="J2403" s="1">
        <v>163.74</v>
      </c>
      <c r="K2403" t="s">
        <v>6</v>
      </c>
    </row>
    <row r="2404" spans="1:11">
      <c r="A2404" t="s">
        <v>2452</v>
      </c>
      <c r="B2404">
        <v>528088</v>
      </c>
      <c r="C2404" s="2" t="str">
        <f>"B-1611-BK"</f>
        <v>B-1611-BK</v>
      </c>
      <c r="D2404" t="s">
        <v>2498</v>
      </c>
      <c r="E2404" t="s">
        <v>4</v>
      </c>
      <c r="F2404">
        <v>13</v>
      </c>
      <c r="H2404" t="s">
        <v>5</v>
      </c>
      <c r="I2404" s="1">
        <v>98.89</v>
      </c>
      <c r="J2404" s="1">
        <v>89</v>
      </c>
      <c r="K2404" t="s">
        <v>6</v>
      </c>
    </row>
    <row r="2405" spans="1:11">
      <c r="A2405" t="s">
        <v>2452</v>
      </c>
      <c r="B2405">
        <v>528089</v>
      </c>
      <c r="C2405" s="2" t="str">
        <f>"B-454-DI"</f>
        <v>B-454-DI</v>
      </c>
      <c r="D2405" t="s">
        <v>2499</v>
      </c>
      <c r="E2405" t="s">
        <v>4</v>
      </c>
      <c r="F2405">
        <v>11</v>
      </c>
      <c r="H2405" t="s">
        <v>5</v>
      </c>
      <c r="I2405" s="1">
        <v>168.16</v>
      </c>
      <c r="J2405" s="1">
        <v>151.35</v>
      </c>
      <c r="K2405" t="s">
        <v>6</v>
      </c>
    </row>
    <row r="2406" spans="1:11">
      <c r="A2406" t="s">
        <v>2452</v>
      </c>
      <c r="B2406">
        <v>531316</v>
      </c>
      <c r="C2406" s="2" t="str">
        <f>"B-788-BK"</f>
        <v>B-788-BK</v>
      </c>
      <c r="D2406" t="s">
        <v>2500</v>
      </c>
      <c r="E2406" t="s">
        <v>4</v>
      </c>
      <c r="F2406">
        <v>6</v>
      </c>
      <c r="H2406" t="s">
        <v>5</v>
      </c>
      <c r="I2406" s="1">
        <v>38.21</v>
      </c>
      <c r="J2406" s="1">
        <v>34.39</v>
      </c>
      <c r="K2406" t="s">
        <v>6</v>
      </c>
    </row>
    <row r="2407" spans="1:11">
      <c r="A2407" t="s">
        <v>2452</v>
      </c>
      <c r="B2407">
        <v>531318</v>
      </c>
      <c r="C2407" s="2" t="str">
        <f>"B-788-W"</f>
        <v>B-788-W</v>
      </c>
      <c r="D2407" t="s">
        <v>2501</v>
      </c>
      <c r="E2407" t="s">
        <v>4</v>
      </c>
      <c r="F2407">
        <v>6</v>
      </c>
      <c r="H2407" t="s">
        <v>5</v>
      </c>
      <c r="I2407" s="1">
        <v>38.21</v>
      </c>
      <c r="J2407" s="1">
        <v>34.39</v>
      </c>
      <c r="K2407" t="s">
        <v>6</v>
      </c>
    </row>
    <row r="2408" spans="1:11">
      <c r="A2408" t="s">
        <v>2452</v>
      </c>
      <c r="B2408">
        <v>531322</v>
      </c>
      <c r="C2408" s="2" t="str">
        <f>"B-789-BK"</f>
        <v>B-789-BK</v>
      </c>
      <c r="D2408" t="s">
        <v>2502</v>
      </c>
      <c r="E2408" t="s">
        <v>4</v>
      </c>
      <c r="F2408">
        <v>11</v>
      </c>
      <c r="H2408" t="s">
        <v>5</v>
      </c>
      <c r="I2408" s="1">
        <v>71.33</v>
      </c>
      <c r="J2408" s="1">
        <v>64.2</v>
      </c>
      <c r="K2408" t="s">
        <v>6</v>
      </c>
    </row>
    <row r="2409" spans="1:11">
      <c r="A2409" t="s">
        <v>2452</v>
      </c>
      <c r="B2409">
        <v>531321</v>
      </c>
      <c r="C2409" s="2" t="str">
        <f>"BC-007-T"</f>
        <v>BC-007-T</v>
      </c>
      <c r="D2409" t="s">
        <v>2503</v>
      </c>
      <c r="E2409" t="s">
        <v>4</v>
      </c>
      <c r="F2409">
        <v>9</v>
      </c>
      <c r="H2409" t="s">
        <v>5</v>
      </c>
      <c r="I2409" s="1">
        <v>75.150000000000006</v>
      </c>
      <c r="J2409" s="1">
        <v>67.63</v>
      </c>
      <c r="K2409" t="s">
        <v>6</v>
      </c>
    </row>
    <row r="2410" spans="1:11">
      <c r="A2410" t="s">
        <v>2452</v>
      </c>
      <c r="B2410">
        <v>531328</v>
      </c>
      <c r="C2410" s="2" t="str">
        <f>"BC-007-W"</f>
        <v>BC-007-W</v>
      </c>
      <c r="D2410" t="s">
        <v>2504</v>
      </c>
      <c r="E2410" t="s">
        <v>4</v>
      </c>
      <c r="F2410">
        <v>9</v>
      </c>
      <c r="H2410" t="s">
        <v>5</v>
      </c>
      <c r="I2410" s="1">
        <v>75.150000000000006</v>
      </c>
      <c r="J2410" s="1">
        <v>67.63</v>
      </c>
      <c r="K2410" t="s">
        <v>6</v>
      </c>
    </row>
    <row r="2411" spans="1:11">
      <c r="A2411" t="s">
        <v>2452</v>
      </c>
      <c r="B2411">
        <v>541871</v>
      </c>
      <c r="C2411" s="2" t="str">
        <f>"BC-70-IR"</f>
        <v>BC-70-IR</v>
      </c>
      <c r="D2411" t="s">
        <v>2505</v>
      </c>
      <c r="E2411" t="s">
        <v>4</v>
      </c>
      <c r="F2411">
        <v>12</v>
      </c>
      <c r="H2411" t="s">
        <v>5</v>
      </c>
      <c r="I2411" s="1">
        <v>158.54</v>
      </c>
      <c r="J2411" s="1">
        <v>142.68</v>
      </c>
      <c r="K2411" t="s">
        <v>6</v>
      </c>
    </row>
    <row r="2412" spans="1:11">
      <c r="A2412" t="s">
        <v>2452</v>
      </c>
      <c r="B2412">
        <v>541872</v>
      </c>
      <c r="C2412" s="2" t="str">
        <f>"BF-090-IR"</f>
        <v>BF-090-IR</v>
      </c>
      <c r="D2412" t="s">
        <v>2506</v>
      </c>
      <c r="E2412" t="s">
        <v>4</v>
      </c>
      <c r="F2412">
        <v>12</v>
      </c>
      <c r="H2412" t="s">
        <v>5</v>
      </c>
      <c r="I2412" s="1">
        <v>100.25</v>
      </c>
      <c r="J2412" s="1">
        <v>90.23</v>
      </c>
      <c r="K2412" t="s">
        <v>6</v>
      </c>
    </row>
    <row r="2413" spans="1:11">
      <c r="A2413" t="s">
        <v>2452</v>
      </c>
      <c r="B2413">
        <v>529456</v>
      </c>
      <c r="C2413" s="2" t="str">
        <f>"BW-1100-PC-CL"</f>
        <v>BW-1100-PC-CL</v>
      </c>
      <c r="D2413" t="s">
        <v>2507</v>
      </c>
      <c r="E2413" t="s">
        <v>4</v>
      </c>
      <c r="F2413">
        <v>8</v>
      </c>
      <c r="H2413" t="s">
        <v>5</v>
      </c>
      <c r="I2413" s="1">
        <v>70.569999999999993</v>
      </c>
      <c r="J2413" s="1">
        <v>63.51</v>
      </c>
      <c r="K2413" t="s">
        <v>6</v>
      </c>
    </row>
    <row r="2414" spans="1:11">
      <c r="A2414" t="s">
        <v>2452</v>
      </c>
      <c r="B2414">
        <v>550478</v>
      </c>
      <c r="C2414" s="2" t="str">
        <f>"CP-530-T"</f>
        <v>CP-530-T</v>
      </c>
      <c r="D2414" t="s">
        <v>2508</v>
      </c>
      <c r="E2414" t="s">
        <v>4</v>
      </c>
      <c r="F2414">
        <v>7</v>
      </c>
      <c r="H2414" t="s">
        <v>5</v>
      </c>
      <c r="I2414" s="1">
        <v>50.1</v>
      </c>
      <c r="J2414" s="1">
        <v>45.09</v>
      </c>
      <c r="K2414" t="s">
        <v>6</v>
      </c>
    </row>
    <row r="2415" spans="1:11">
      <c r="A2415" t="s">
        <v>2452</v>
      </c>
      <c r="B2415">
        <v>550477</v>
      </c>
      <c r="C2415" s="2" t="str">
        <f>"DC-101-T"</f>
        <v>DC-101-T</v>
      </c>
      <c r="D2415" t="s">
        <v>2509</v>
      </c>
      <c r="E2415" t="s">
        <v>4</v>
      </c>
      <c r="F2415">
        <v>13</v>
      </c>
      <c r="H2415" t="s">
        <v>5</v>
      </c>
      <c r="I2415" s="1">
        <v>115.03</v>
      </c>
      <c r="J2415" s="1">
        <v>103.52</v>
      </c>
      <c r="K2415" t="s">
        <v>6</v>
      </c>
    </row>
    <row r="2416" spans="1:11">
      <c r="A2416" t="s">
        <v>2452</v>
      </c>
      <c r="B2416">
        <v>548659</v>
      </c>
      <c r="C2416" s="2" t="str">
        <f>"DC-101-W"</f>
        <v>DC-101-W</v>
      </c>
      <c r="D2416" t="s">
        <v>2510</v>
      </c>
      <c r="E2416" t="s">
        <v>4</v>
      </c>
      <c r="F2416">
        <v>13</v>
      </c>
      <c r="H2416" t="s">
        <v>5</v>
      </c>
      <c r="I2416" s="1">
        <v>115.03</v>
      </c>
      <c r="J2416" s="1">
        <v>103.52</v>
      </c>
      <c r="K2416" t="s">
        <v>6</v>
      </c>
    </row>
    <row r="2417" spans="1:11">
      <c r="A2417" t="s">
        <v>2452</v>
      </c>
      <c r="B2417">
        <v>528090</v>
      </c>
      <c r="C2417" s="2" t="str">
        <f>"DD-50-CL"</f>
        <v>DD-50-CL</v>
      </c>
      <c r="D2417" t="s">
        <v>2511</v>
      </c>
      <c r="E2417" t="s">
        <v>4</v>
      </c>
      <c r="F2417">
        <v>5</v>
      </c>
      <c r="H2417" t="s">
        <v>5</v>
      </c>
      <c r="I2417" s="1">
        <v>45.02</v>
      </c>
      <c r="J2417" s="1">
        <v>40.520000000000003</v>
      </c>
      <c r="K2417" t="s">
        <v>6</v>
      </c>
    </row>
    <row r="2418" spans="1:11">
      <c r="A2418" t="s">
        <v>2452</v>
      </c>
      <c r="B2418">
        <v>528092</v>
      </c>
      <c r="C2418" s="2" t="str">
        <f>"DN-310-T"</f>
        <v>DN-310-T</v>
      </c>
      <c r="D2418" t="s">
        <v>2512</v>
      </c>
      <c r="E2418" t="s">
        <v>4</v>
      </c>
      <c r="F2418">
        <v>12</v>
      </c>
      <c r="H2418" t="s">
        <v>5</v>
      </c>
      <c r="I2418" s="1">
        <v>76</v>
      </c>
      <c r="J2418" s="1">
        <v>68.400000000000006</v>
      </c>
      <c r="K2418" t="s">
        <v>6</v>
      </c>
    </row>
    <row r="2419" spans="1:11">
      <c r="A2419" t="s">
        <v>2452</v>
      </c>
      <c r="B2419">
        <v>529334</v>
      </c>
      <c r="C2419" s="2" t="str">
        <f>"DN-310-W"</f>
        <v>DN-310-W</v>
      </c>
      <c r="D2419" t="s">
        <v>2513</v>
      </c>
      <c r="E2419" t="s">
        <v>4</v>
      </c>
      <c r="F2419">
        <v>12</v>
      </c>
      <c r="H2419" t="s">
        <v>5</v>
      </c>
      <c r="I2419" s="1">
        <v>76</v>
      </c>
      <c r="J2419" s="1">
        <v>68.400000000000006</v>
      </c>
      <c r="K2419" t="s">
        <v>6</v>
      </c>
    </row>
    <row r="2420" spans="1:11">
      <c r="A2420" t="s">
        <v>2452</v>
      </c>
      <c r="B2420">
        <v>528093</v>
      </c>
      <c r="C2420" s="2" t="str">
        <f>"DN-313-T"</f>
        <v>DN-313-T</v>
      </c>
      <c r="D2420" t="s">
        <v>2514</v>
      </c>
      <c r="E2420" t="s">
        <v>4</v>
      </c>
      <c r="F2420">
        <v>13</v>
      </c>
      <c r="H2420" t="s">
        <v>5</v>
      </c>
      <c r="I2420" s="1">
        <v>91.9</v>
      </c>
      <c r="J2420" s="1">
        <v>82.71</v>
      </c>
      <c r="K2420" t="s">
        <v>6</v>
      </c>
    </row>
    <row r="2421" spans="1:11">
      <c r="A2421" t="s">
        <v>2452</v>
      </c>
      <c r="B2421">
        <v>528094</v>
      </c>
      <c r="C2421" s="2" t="str">
        <f>"DN-315-T"</f>
        <v>DN-315-T</v>
      </c>
      <c r="D2421" t="s">
        <v>2515</v>
      </c>
      <c r="E2421" t="s">
        <v>4</v>
      </c>
      <c r="F2421">
        <v>14</v>
      </c>
      <c r="H2421" t="s">
        <v>5</v>
      </c>
      <c r="I2421" s="1">
        <v>97.42</v>
      </c>
      <c r="J2421" s="1">
        <v>87.68</v>
      </c>
      <c r="K2421" t="s">
        <v>6</v>
      </c>
    </row>
    <row r="2422" spans="1:11">
      <c r="A2422" t="s">
        <v>2452</v>
      </c>
      <c r="B2422">
        <v>528096</v>
      </c>
      <c r="C2422" s="2" t="str">
        <f>"DN-316-T"</f>
        <v>DN-316-T</v>
      </c>
      <c r="D2422" t="s">
        <v>2516</v>
      </c>
      <c r="E2422" t="s">
        <v>4</v>
      </c>
      <c r="F2422">
        <v>15</v>
      </c>
      <c r="H2422" t="s">
        <v>5</v>
      </c>
      <c r="I2422" s="1">
        <v>106.76</v>
      </c>
      <c r="J2422" s="1">
        <v>96.08</v>
      </c>
      <c r="K2422" t="s">
        <v>6</v>
      </c>
    </row>
    <row r="2423" spans="1:11">
      <c r="A2423" t="s">
        <v>2452</v>
      </c>
      <c r="B2423">
        <v>528097</v>
      </c>
      <c r="C2423" s="2" t="str">
        <f>"DN-335-T"</f>
        <v>DN-335-T</v>
      </c>
      <c r="D2423" t="s">
        <v>2517</v>
      </c>
      <c r="E2423" t="s">
        <v>4</v>
      </c>
      <c r="F2423">
        <v>6</v>
      </c>
      <c r="H2423" t="s">
        <v>5</v>
      </c>
      <c r="I2423" s="1">
        <v>48.65</v>
      </c>
      <c r="J2423" s="1">
        <v>43.78</v>
      </c>
      <c r="K2423" t="s">
        <v>6</v>
      </c>
    </row>
    <row r="2424" spans="1:11">
      <c r="A2424" t="s">
        <v>2452</v>
      </c>
      <c r="B2424">
        <v>528098</v>
      </c>
      <c r="C2424" s="2" t="str">
        <f>"DN-335-W"</f>
        <v>DN-335-W</v>
      </c>
      <c r="D2424" t="s">
        <v>2518</v>
      </c>
      <c r="E2424" t="s">
        <v>4</v>
      </c>
      <c r="F2424">
        <v>6</v>
      </c>
      <c r="H2424" t="s">
        <v>5</v>
      </c>
      <c r="I2424" s="1">
        <v>48.65</v>
      </c>
      <c r="J2424" s="1">
        <v>43.78</v>
      </c>
      <c r="K2424" t="s">
        <v>6</v>
      </c>
    </row>
    <row r="2425" spans="1:11">
      <c r="A2425" t="s">
        <v>2452</v>
      </c>
      <c r="B2425">
        <v>531332</v>
      </c>
      <c r="C2425" s="2" t="str">
        <f>"DN-350-T"</f>
        <v>DN-350-T</v>
      </c>
      <c r="D2425" t="s">
        <v>2519</v>
      </c>
      <c r="E2425" t="s">
        <v>4</v>
      </c>
      <c r="F2425">
        <v>8</v>
      </c>
      <c r="H2425" t="s">
        <v>5</v>
      </c>
      <c r="I2425" s="1">
        <v>64.930000000000007</v>
      </c>
      <c r="J2425" s="1">
        <v>58.44</v>
      </c>
      <c r="K2425" t="s">
        <v>6</v>
      </c>
    </row>
    <row r="2426" spans="1:11">
      <c r="A2426" t="s">
        <v>2452</v>
      </c>
      <c r="B2426">
        <v>531346</v>
      </c>
      <c r="C2426" s="2" t="str">
        <f>"DN-350-W"</f>
        <v>DN-350-W</v>
      </c>
      <c r="D2426" t="s">
        <v>2520</v>
      </c>
      <c r="E2426" t="s">
        <v>4</v>
      </c>
      <c r="F2426">
        <v>8</v>
      </c>
      <c r="H2426" t="s">
        <v>5</v>
      </c>
      <c r="I2426" s="1">
        <v>64.930000000000007</v>
      </c>
      <c r="J2426" s="1">
        <v>58.44</v>
      </c>
      <c r="K2426" t="s">
        <v>6</v>
      </c>
    </row>
    <row r="2427" spans="1:11">
      <c r="A2427" t="s">
        <v>2452</v>
      </c>
      <c r="B2427">
        <v>531353</v>
      </c>
      <c r="C2427" s="2" t="str">
        <f>"DN-902-BA"</f>
        <v>DN-902-BA</v>
      </c>
      <c r="D2427" t="s">
        <v>2521</v>
      </c>
      <c r="E2427" t="s">
        <v>4</v>
      </c>
      <c r="F2427">
        <v>13</v>
      </c>
      <c r="H2427" t="s">
        <v>5</v>
      </c>
      <c r="I2427" s="1">
        <v>131.28</v>
      </c>
      <c r="J2427" s="1">
        <v>118.16</v>
      </c>
      <c r="K2427" t="s">
        <v>6</v>
      </c>
    </row>
    <row r="2428" spans="1:11">
      <c r="A2428" t="s">
        <v>2452</v>
      </c>
      <c r="B2428">
        <v>534396</v>
      </c>
      <c r="C2428" s="2" t="str">
        <f>"DP-505-T"</f>
        <v>DP-505-T</v>
      </c>
      <c r="D2428" t="s">
        <v>2522</v>
      </c>
      <c r="E2428" t="s">
        <v>4</v>
      </c>
      <c r="F2428">
        <v>10</v>
      </c>
      <c r="H2428" t="s">
        <v>5</v>
      </c>
      <c r="I2428" s="1">
        <v>65.61</v>
      </c>
      <c r="J2428" s="1">
        <v>59.04</v>
      </c>
      <c r="K2428" t="s">
        <v>6</v>
      </c>
    </row>
    <row r="2429" spans="1:11">
      <c r="A2429" t="s">
        <v>2452</v>
      </c>
      <c r="B2429">
        <v>534397</v>
      </c>
      <c r="C2429" s="2" t="str">
        <f>"DP-505-W"</f>
        <v>DP-505-W</v>
      </c>
      <c r="D2429" t="s">
        <v>2523</v>
      </c>
      <c r="E2429" t="s">
        <v>4</v>
      </c>
      <c r="F2429">
        <v>10</v>
      </c>
      <c r="H2429" t="s">
        <v>5</v>
      </c>
      <c r="I2429" s="1">
        <v>65.61</v>
      </c>
      <c r="J2429" s="1">
        <v>59.04</v>
      </c>
      <c r="K2429" t="s">
        <v>6</v>
      </c>
    </row>
    <row r="2430" spans="1:11">
      <c r="A2430" t="s">
        <v>2452</v>
      </c>
      <c r="B2430">
        <v>534398</v>
      </c>
      <c r="C2430" s="2" t="str">
        <f>"DP-506-T"</f>
        <v>DP-506-T</v>
      </c>
      <c r="D2430" t="s">
        <v>2524</v>
      </c>
      <c r="E2430" t="s">
        <v>4</v>
      </c>
      <c r="F2430">
        <v>14</v>
      </c>
      <c r="H2430" t="s">
        <v>5</v>
      </c>
      <c r="I2430" s="1">
        <v>82.1</v>
      </c>
      <c r="J2430" s="1">
        <v>73.89</v>
      </c>
      <c r="K2430" t="s">
        <v>6</v>
      </c>
    </row>
    <row r="2431" spans="1:11">
      <c r="A2431" t="s">
        <v>2452</v>
      </c>
      <c r="B2431">
        <v>528099</v>
      </c>
      <c r="C2431" s="2" t="str">
        <f>"DP-506-W"</f>
        <v>DP-506-W</v>
      </c>
      <c r="D2431" t="s">
        <v>2525</v>
      </c>
      <c r="E2431" t="s">
        <v>4</v>
      </c>
      <c r="F2431">
        <v>14</v>
      </c>
      <c r="H2431" t="s">
        <v>5</v>
      </c>
      <c r="I2431" s="1">
        <v>82.1</v>
      </c>
      <c r="J2431" s="1">
        <v>73.89</v>
      </c>
      <c r="K2431" t="s">
        <v>6</v>
      </c>
    </row>
    <row r="2432" spans="1:11">
      <c r="A2432" t="s">
        <v>2452</v>
      </c>
      <c r="B2432">
        <v>528101</v>
      </c>
      <c r="C2432" s="2" t="str">
        <f>"DP-507-T"</f>
        <v>DP-507-T</v>
      </c>
      <c r="D2432" t="s">
        <v>2526</v>
      </c>
      <c r="E2432" t="s">
        <v>4</v>
      </c>
      <c r="F2432">
        <v>9</v>
      </c>
      <c r="H2432" t="s">
        <v>5</v>
      </c>
      <c r="I2432" s="1">
        <v>54.75</v>
      </c>
      <c r="J2432" s="1">
        <v>49.28</v>
      </c>
      <c r="K2432" t="s">
        <v>6</v>
      </c>
    </row>
    <row r="2433" spans="1:11">
      <c r="A2433" t="s">
        <v>2452</v>
      </c>
      <c r="B2433">
        <v>528102</v>
      </c>
      <c r="C2433" s="2" t="str">
        <f>"DP-507-W"</f>
        <v>DP-507-W</v>
      </c>
      <c r="D2433" t="s">
        <v>2527</v>
      </c>
      <c r="E2433" t="s">
        <v>4</v>
      </c>
      <c r="F2433">
        <v>9</v>
      </c>
      <c r="H2433" t="s">
        <v>5</v>
      </c>
      <c r="I2433" s="1">
        <v>54.75</v>
      </c>
      <c r="J2433" s="1">
        <v>49.28</v>
      </c>
      <c r="K2433" t="s">
        <v>6</v>
      </c>
    </row>
    <row r="2434" spans="1:11">
      <c r="A2434" t="s">
        <v>2452</v>
      </c>
      <c r="B2434">
        <v>528103</v>
      </c>
      <c r="C2434" s="2" t="str">
        <f>"DP-509-T"</f>
        <v>DP-509-T</v>
      </c>
      <c r="D2434" t="s">
        <v>2528</v>
      </c>
      <c r="E2434" t="s">
        <v>4</v>
      </c>
      <c r="F2434">
        <v>12</v>
      </c>
      <c r="H2434" t="s">
        <v>5</v>
      </c>
      <c r="I2434" s="1">
        <v>71.17</v>
      </c>
      <c r="J2434" s="1">
        <v>64.05</v>
      </c>
      <c r="K2434" t="s">
        <v>6</v>
      </c>
    </row>
    <row r="2435" spans="1:11">
      <c r="A2435" t="s">
        <v>2452</v>
      </c>
      <c r="B2435">
        <v>534399</v>
      </c>
      <c r="C2435" s="2" t="str">
        <f>"DP-509-W"</f>
        <v>DP-509-W</v>
      </c>
      <c r="D2435" t="s">
        <v>2529</v>
      </c>
      <c r="E2435" t="s">
        <v>4</v>
      </c>
      <c r="F2435">
        <v>12</v>
      </c>
      <c r="H2435" t="s">
        <v>5</v>
      </c>
      <c r="I2435" s="1">
        <v>71.17</v>
      </c>
      <c r="J2435" s="1">
        <v>64.05</v>
      </c>
      <c r="K2435" t="s">
        <v>6</v>
      </c>
    </row>
    <row r="2436" spans="1:11">
      <c r="A2436" t="s">
        <v>2452</v>
      </c>
      <c r="B2436">
        <v>528104</v>
      </c>
      <c r="C2436" s="2" t="str">
        <f>"DP-510-T"</f>
        <v>DP-510-T</v>
      </c>
      <c r="D2436" t="s">
        <v>2530</v>
      </c>
      <c r="E2436" t="s">
        <v>4</v>
      </c>
      <c r="F2436">
        <v>14</v>
      </c>
      <c r="H2436" t="s">
        <v>5</v>
      </c>
      <c r="I2436" s="1">
        <v>100.38</v>
      </c>
      <c r="J2436" s="1">
        <v>90.34</v>
      </c>
      <c r="K2436" t="s">
        <v>6</v>
      </c>
    </row>
    <row r="2437" spans="1:11">
      <c r="A2437" t="s">
        <v>2452</v>
      </c>
      <c r="B2437">
        <v>531348</v>
      </c>
      <c r="C2437" s="2" t="str">
        <f>"DP-510-W"</f>
        <v>DP-510-W</v>
      </c>
      <c r="D2437" t="s">
        <v>2531</v>
      </c>
      <c r="E2437" t="s">
        <v>4</v>
      </c>
      <c r="F2437">
        <v>14</v>
      </c>
      <c r="H2437" t="s">
        <v>5</v>
      </c>
      <c r="I2437" s="1">
        <v>100.38</v>
      </c>
      <c r="J2437" s="1">
        <v>90.34</v>
      </c>
      <c r="K2437" t="s">
        <v>6</v>
      </c>
    </row>
    <row r="2438" spans="1:11">
      <c r="A2438" t="s">
        <v>2452</v>
      </c>
      <c r="B2438">
        <v>528105</v>
      </c>
      <c r="C2438" s="2" t="str">
        <f>"ER-020-BR"</f>
        <v>ER-020-BR</v>
      </c>
      <c r="D2438" t="s">
        <v>2532</v>
      </c>
      <c r="E2438" t="s">
        <v>4</v>
      </c>
      <c r="F2438">
        <v>3</v>
      </c>
      <c r="H2438" t="s">
        <v>5</v>
      </c>
      <c r="I2438" s="1">
        <v>28.89</v>
      </c>
      <c r="J2438" s="1">
        <v>26</v>
      </c>
      <c r="K2438" t="s">
        <v>6</v>
      </c>
    </row>
    <row r="2439" spans="1:11">
      <c r="A2439" t="s">
        <v>2452</v>
      </c>
      <c r="B2439">
        <v>528106</v>
      </c>
      <c r="C2439" s="2" t="str">
        <f>"ER-020-CL"</f>
        <v>ER-020-CL</v>
      </c>
      <c r="D2439" t="s">
        <v>2533</v>
      </c>
      <c r="E2439" t="s">
        <v>4</v>
      </c>
      <c r="F2439">
        <v>3</v>
      </c>
      <c r="H2439" t="s">
        <v>5</v>
      </c>
      <c r="I2439" s="1">
        <v>28.89</v>
      </c>
      <c r="J2439" s="1">
        <v>26</v>
      </c>
      <c r="K2439" t="s">
        <v>6</v>
      </c>
    </row>
    <row r="2440" spans="1:11">
      <c r="A2440" t="s">
        <v>2452</v>
      </c>
      <c r="B2440">
        <v>528107</v>
      </c>
      <c r="C2440" s="2" t="str">
        <f>"ER-020-W"</f>
        <v>ER-020-W</v>
      </c>
      <c r="D2440" t="s">
        <v>2534</v>
      </c>
      <c r="E2440" t="s">
        <v>4</v>
      </c>
      <c r="F2440">
        <v>3</v>
      </c>
      <c r="H2440" t="s">
        <v>5</v>
      </c>
      <c r="I2440" s="1">
        <v>28.89</v>
      </c>
      <c r="J2440" s="1">
        <v>26</v>
      </c>
      <c r="K2440" t="s">
        <v>6</v>
      </c>
    </row>
    <row r="2441" spans="1:11">
      <c r="A2441" t="s">
        <v>2452</v>
      </c>
      <c r="B2441">
        <v>531301</v>
      </c>
      <c r="C2441" s="2" t="str">
        <f>"ER-025-CL"</f>
        <v>ER-025-CL</v>
      </c>
      <c r="D2441" t="s">
        <v>2535</v>
      </c>
      <c r="E2441" t="s">
        <v>4</v>
      </c>
      <c r="F2441">
        <v>3</v>
      </c>
      <c r="H2441" t="s">
        <v>5</v>
      </c>
      <c r="I2441" s="1">
        <v>32.520000000000003</v>
      </c>
      <c r="J2441" s="1">
        <v>29.27</v>
      </c>
      <c r="K2441" t="s">
        <v>6</v>
      </c>
    </row>
    <row r="2442" spans="1:11">
      <c r="A2442" t="s">
        <v>2452</v>
      </c>
      <c r="B2442">
        <v>531302</v>
      </c>
      <c r="C2442" s="2" t="str">
        <f>"ER-040-CL"</f>
        <v>ER-040-CL</v>
      </c>
      <c r="D2442" t="s">
        <v>2536</v>
      </c>
      <c r="E2442" t="s">
        <v>4</v>
      </c>
      <c r="F2442">
        <v>4</v>
      </c>
      <c r="H2442" t="s">
        <v>5</v>
      </c>
      <c r="I2442" s="1">
        <v>39.729999999999997</v>
      </c>
      <c r="J2442" s="1">
        <v>35.75</v>
      </c>
      <c r="K2442" t="s">
        <v>6</v>
      </c>
    </row>
    <row r="2443" spans="1:11">
      <c r="A2443" t="s">
        <v>2452</v>
      </c>
      <c r="B2443">
        <v>528108</v>
      </c>
      <c r="C2443" s="2" t="str">
        <f>"ER-045-W"</f>
        <v>ER-045-W</v>
      </c>
      <c r="D2443" t="s">
        <v>2537</v>
      </c>
      <c r="E2443" t="s">
        <v>4</v>
      </c>
      <c r="F2443">
        <v>5</v>
      </c>
      <c r="H2443" t="s">
        <v>5</v>
      </c>
      <c r="I2443" s="1">
        <v>57.8</v>
      </c>
      <c r="J2443" s="1">
        <v>52.02</v>
      </c>
      <c r="K2443" t="s">
        <v>6</v>
      </c>
    </row>
    <row r="2444" spans="1:11">
      <c r="A2444" t="s">
        <v>2452</v>
      </c>
      <c r="B2444">
        <v>531305</v>
      </c>
      <c r="C2444" s="2" t="str">
        <f>"ER-402-CL"</f>
        <v>ER-402-CL</v>
      </c>
      <c r="D2444" t="s">
        <v>2538</v>
      </c>
      <c r="E2444" t="s">
        <v>4</v>
      </c>
      <c r="F2444">
        <v>3</v>
      </c>
      <c r="H2444" t="s">
        <v>5</v>
      </c>
      <c r="I2444" s="1">
        <v>50.59</v>
      </c>
      <c r="J2444" s="1">
        <v>45.53</v>
      </c>
      <c r="K2444" t="s">
        <v>6</v>
      </c>
    </row>
    <row r="2445" spans="1:11">
      <c r="A2445" t="s">
        <v>2452</v>
      </c>
      <c r="B2445">
        <v>528109</v>
      </c>
      <c r="C2445" s="2" t="str">
        <f>"F-625-BR"</f>
        <v>F-625-BR</v>
      </c>
      <c r="D2445" t="s">
        <v>2532</v>
      </c>
      <c r="E2445" t="s">
        <v>4</v>
      </c>
      <c r="F2445">
        <v>5</v>
      </c>
      <c r="H2445" t="s">
        <v>5</v>
      </c>
      <c r="I2445" s="1">
        <v>45.35</v>
      </c>
      <c r="J2445" s="1">
        <v>40.82</v>
      </c>
      <c r="K2445" t="s">
        <v>6</v>
      </c>
    </row>
    <row r="2446" spans="1:11">
      <c r="A2446" t="s">
        <v>2452</v>
      </c>
      <c r="B2446">
        <v>529351</v>
      </c>
      <c r="C2446" s="2" t="str">
        <f>"F-625-IV"</f>
        <v>F-625-IV</v>
      </c>
      <c r="D2446" t="s">
        <v>2539</v>
      </c>
      <c r="E2446" t="s">
        <v>4</v>
      </c>
      <c r="F2446">
        <v>5</v>
      </c>
      <c r="H2446" t="s">
        <v>5</v>
      </c>
      <c r="I2446" s="1">
        <v>45.35</v>
      </c>
      <c r="J2446" s="1">
        <v>40.82</v>
      </c>
      <c r="K2446" t="s">
        <v>6</v>
      </c>
    </row>
    <row r="2447" spans="1:11">
      <c r="A2447" t="s">
        <v>2452</v>
      </c>
      <c r="B2447">
        <v>531324</v>
      </c>
      <c r="C2447" s="2" t="str">
        <f>"H-14-CL"</f>
        <v>H-14-CL</v>
      </c>
      <c r="D2447" t="s">
        <v>2540</v>
      </c>
      <c r="E2447" t="s">
        <v>4</v>
      </c>
      <c r="F2447">
        <v>7</v>
      </c>
      <c r="H2447" t="s">
        <v>5</v>
      </c>
      <c r="I2447" s="1">
        <v>49.61</v>
      </c>
      <c r="J2447" s="1">
        <v>44.65</v>
      </c>
      <c r="K2447" t="s">
        <v>6</v>
      </c>
    </row>
    <row r="2448" spans="1:11">
      <c r="A2448" t="s">
        <v>2452</v>
      </c>
      <c r="B2448">
        <v>543962</v>
      </c>
      <c r="C2448" s="2" t="str">
        <f>"H-9-CL"</f>
        <v>H-9-CL</v>
      </c>
      <c r="D2448" t="s">
        <v>2541</v>
      </c>
      <c r="E2448" t="s">
        <v>4</v>
      </c>
      <c r="F2448">
        <v>6</v>
      </c>
      <c r="H2448" t="s">
        <v>5</v>
      </c>
      <c r="I2448" s="1">
        <v>45.77</v>
      </c>
      <c r="J2448" s="1">
        <v>41.19</v>
      </c>
      <c r="K2448" t="s">
        <v>6</v>
      </c>
    </row>
    <row r="2449" spans="1:11">
      <c r="A2449" t="s">
        <v>2452</v>
      </c>
      <c r="B2449">
        <v>528110</v>
      </c>
      <c r="C2449" s="2" t="str">
        <f>"HC-100N-1"</f>
        <v>HC-100N-1</v>
      </c>
      <c r="D2449" t="s">
        <v>2542</v>
      </c>
      <c r="E2449" t="s">
        <v>4</v>
      </c>
      <c r="F2449">
        <v>17</v>
      </c>
      <c r="H2449" t="s">
        <v>5</v>
      </c>
      <c r="I2449" s="1">
        <v>79.22</v>
      </c>
      <c r="J2449" s="1">
        <v>71.3</v>
      </c>
      <c r="K2449" t="s">
        <v>6</v>
      </c>
    </row>
    <row r="2450" spans="1:11">
      <c r="A2450" t="s">
        <v>2452</v>
      </c>
      <c r="B2450">
        <v>531271</v>
      </c>
      <c r="C2450" s="2" t="str">
        <f>"HI-2001-CL"</f>
        <v>HI-2001-CL</v>
      </c>
      <c r="D2450" t="s">
        <v>2543</v>
      </c>
      <c r="E2450" t="s">
        <v>4</v>
      </c>
      <c r="F2450">
        <v>9</v>
      </c>
      <c r="H2450" t="s">
        <v>5</v>
      </c>
      <c r="I2450" s="1">
        <v>90.4</v>
      </c>
      <c r="J2450" s="1">
        <v>81.36</v>
      </c>
      <c r="K2450" t="s">
        <v>6</v>
      </c>
    </row>
    <row r="2451" spans="1:11">
      <c r="A2451" t="s">
        <v>2452</v>
      </c>
      <c r="B2451">
        <v>531273</v>
      </c>
      <c r="C2451" s="2" t="str">
        <f>"ML-10-W"</f>
        <v>ML-10-W</v>
      </c>
      <c r="D2451" t="s">
        <v>2544</v>
      </c>
      <c r="E2451" t="s">
        <v>4</v>
      </c>
      <c r="F2451">
        <v>17</v>
      </c>
      <c r="H2451" t="s">
        <v>5</v>
      </c>
      <c r="I2451" s="1">
        <v>119.72</v>
      </c>
      <c r="J2451" s="1">
        <v>107.75</v>
      </c>
      <c r="K2451" t="s">
        <v>6</v>
      </c>
    </row>
    <row r="2452" spans="1:11">
      <c r="A2452" t="s">
        <v>2452</v>
      </c>
      <c r="B2452">
        <v>531261</v>
      </c>
      <c r="C2452" s="2" t="str">
        <f>"ML-113-W"</f>
        <v>ML-113-W</v>
      </c>
      <c r="D2452" t="s">
        <v>2545</v>
      </c>
      <c r="E2452" t="s">
        <v>4</v>
      </c>
      <c r="F2452">
        <v>21</v>
      </c>
      <c r="H2452" t="s">
        <v>5</v>
      </c>
      <c r="I2452" s="1">
        <v>286.67</v>
      </c>
      <c r="J2452" s="1">
        <v>258</v>
      </c>
      <c r="K2452" t="s">
        <v>6</v>
      </c>
    </row>
    <row r="2453" spans="1:11">
      <c r="A2453" t="s">
        <v>2452</v>
      </c>
      <c r="B2453">
        <v>531275</v>
      </c>
      <c r="C2453" s="2" t="str">
        <f>"ML-122-W"</f>
        <v>ML-122-W</v>
      </c>
      <c r="D2453" t="s">
        <v>2546</v>
      </c>
      <c r="E2453" t="s">
        <v>4</v>
      </c>
      <c r="F2453">
        <v>4</v>
      </c>
      <c r="H2453" t="s">
        <v>5</v>
      </c>
      <c r="I2453" s="1">
        <v>35.24</v>
      </c>
      <c r="J2453" s="1">
        <v>31.72</v>
      </c>
      <c r="K2453" t="s">
        <v>6</v>
      </c>
    </row>
    <row r="2454" spans="1:11">
      <c r="A2454" t="s">
        <v>2452</v>
      </c>
      <c r="B2454">
        <v>531279</v>
      </c>
      <c r="C2454" s="2" t="str">
        <f>"ML-60-W"</f>
        <v>ML-60-W</v>
      </c>
      <c r="D2454" t="s">
        <v>2547</v>
      </c>
      <c r="E2454" t="s">
        <v>4</v>
      </c>
      <c r="F2454">
        <v>4</v>
      </c>
      <c r="H2454" t="s">
        <v>5</v>
      </c>
      <c r="I2454" s="1">
        <v>31.27</v>
      </c>
      <c r="J2454" s="1">
        <v>28.15</v>
      </c>
      <c r="K2454" t="s">
        <v>6</v>
      </c>
    </row>
    <row r="2455" spans="1:11">
      <c r="A2455" t="s">
        <v>2452</v>
      </c>
      <c r="B2455">
        <v>531281</v>
      </c>
      <c r="C2455" s="2" t="str">
        <f>"ML-61-BK"</f>
        <v>ML-61-BK</v>
      </c>
      <c r="D2455" t="s">
        <v>2548</v>
      </c>
      <c r="E2455" t="s">
        <v>4</v>
      </c>
      <c r="F2455">
        <v>8</v>
      </c>
      <c r="H2455" t="s">
        <v>5</v>
      </c>
      <c r="I2455" s="1">
        <v>45.59</v>
      </c>
      <c r="J2455" s="1">
        <v>41.03</v>
      </c>
      <c r="K2455" t="s">
        <v>6</v>
      </c>
    </row>
    <row r="2456" spans="1:11">
      <c r="A2456" t="s">
        <v>2452</v>
      </c>
      <c r="B2456">
        <v>531285</v>
      </c>
      <c r="C2456" s="2" t="str">
        <f>"ML-61-W"</f>
        <v>ML-61-W</v>
      </c>
      <c r="D2456" t="s">
        <v>2549</v>
      </c>
      <c r="E2456" t="s">
        <v>4</v>
      </c>
      <c r="F2456">
        <v>8</v>
      </c>
      <c r="H2456" t="s">
        <v>5</v>
      </c>
      <c r="I2456" s="1">
        <v>45.59</v>
      </c>
      <c r="J2456" s="1">
        <v>41.03</v>
      </c>
      <c r="K2456" t="s">
        <v>6</v>
      </c>
    </row>
    <row r="2457" spans="1:11">
      <c r="A2457" t="s">
        <v>2452</v>
      </c>
      <c r="B2457">
        <v>531287</v>
      </c>
      <c r="C2457" s="2" t="str">
        <f>"ML-62-W"</f>
        <v>ML-62-W</v>
      </c>
      <c r="D2457" t="s">
        <v>2549</v>
      </c>
      <c r="E2457" t="s">
        <v>4</v>
      </c>
      <c r="F2457">
        <v>11</v>
      </c>
      <c r="H2457" t="s">
        <v>5</v>
      </c>
      <c r="I2457" s="1">
        <v>70.010000000000005</v>
      </c>
      <c r="J2457" s="1">
        <v>63.01</v>
      </c>
      <c r="K2457" t="s">
        <v>6</v>
      </c>
    </row>
    <row r="2458" spans="1:11">
      <c r="A2458" t="s">
        <v>2452</v>
      </c>
      <c r="B2458">
        <v>531289</v>
      </c>
      <c r="C2458" s="2" t="str">
        <f>"ML-63-BK"</f>
        <v>ML-63-BK</v>
      </c>
      <c r="D2458" t="s">
        <v>2548</v>
      </c>
      <c r="E2458" t="s">
        <v>4</v>
      </c>
      <c r="F2458">
        <v>15</v>
      </c>
      <c r="H2458" t="s">
        <v>5</v>
      </c>
      <c r="I2458" s="1">
        <v>87.67</v>
      </c>
      <c r="J2458" s="1">
        <v>78.900000000000006</v>
      </c>
      <c r="K2458" t="s">
        <v>6</v>
      </c>
    </row>
    <row r="2459" spans="1:11">
      <c r="A2459" t="s">
        <v>2452</v>
      </c>
      <c r="B2459">
        <v>531291</v>
      </c>
      <c r="C2459" s="2" t="str">
        <f>"ML-63-W"</f>
        <v>ML-63-W</v>
      </c>
      <c r="D2459" t="s">
        <v>2549</v>
      </c>
      <c r="E2459" t="s">
        <v>4</v>
      </c>
      <c r="F2459">
        <v>15</v>
      </c>
      <c r="H2459" t="s">
        <v>5</v>
      </c>
      <c r="I2459" s="1">
        <v>87.67</v>
      </c>
      <c r="J2459" s="1">
        <v>78.900000000000006</v>
      </c>
      <c r="K2459" t="s">
        <v>6</v>
      </c>
    </row>
    <row r="2460" spans="1:11">
      <c r="A2460" t="s">
        <v>2452</v>
      </c>
      <c r="B2460">
        <v>531293</v>
      </c>
      <c r="C2460" s="2" t="str">
        <f>"ML-77-W"</f>
        <v>ML-77-W</v>
      </c>
      <c r="D2460" t="s">
        <v>2550</v>
      </c>
      <c r="E2460" t="s">
        <v>4</v>
      </c>
      <c r="F2460">
        <v>7</v>
      </c>
      <c r="H2460" t="s">
        <v>5</v>
      </c>
      <c r="I2460" s="1">
        <v>53.6</v>
      </c>
      <c r="J2460" s="1">
        <v>48.24</v>
      </c>
      <c r="K2460" t="s">
        <v>6</v>
      </c>
    </row>
    <row r="2461" spans="1:11">
      <c r="A2461" t="s">
        <v>2452</v>
      </c>
      <c r="B2461">
        <v>531295</v>
      </c>
      <c r="C2461" s="2" t="str">
        <f>"ML-82-W"</f>
        <v>ML-82-W</v>
      </c>
      <c r="D2461" t="s">
        <v>2551</v>
      </c>
      <c r="E2461" t="s">
        <v>4</v>
      </c>
      <c r="F2461">
        <v>12</v>
      </c>
      <c r="H2461" t="s">
        <v>5</v>
      </c>
      <c r="I2461" s="1">
        <v>106.34</v>
      </c>
      <c r="J2461" s="1">
        <v>95.71</v>
      </c>
      <c r="K2461" t="s">
        <v>6</v>
      </c>
    </row>
    <row r="2462" spans="1:11">
      <c r="A2462" t="s">
        <v>2452</v>
      </c>
      <c r="B2462">
        <v>531296</v>
      </c>
      <c r="C2462" s="2" t="str">
        <f>"ML-84-BK"</f>
        <v>ML-84-BK</v>
      </c>
      <c r="D2462" t="s">
        <v>2552</v>
      </c>
      <c r="E2462" t="s">
        <v>4</v>
      </c>
      <c r="F2462">
        <v>13</v>
      </c>
      <c r="H2462" t="s">
        <v>5</v>
      </c>
      <c r="I2462" s="1">
        <v>105.84</v>
      </c>
      <c r="J2462" s="1">
        <v>95.25</v>
      </c>
      <c r="K2462" t="s">
        <v>6</v>
      </c>
    </row>
    <row r="2463" spans="1:11">
      <c r="A2463" t="s">
        <v>2452</v>
      </c>
      <c r="B2463">
        <v>531298</v>
      </c>
      <c r="C2463" s="2" t="str">
        <f>"ML-87-W"</f>
        <v>ML-87-W</v>
      </c>
      <c r="D2463" t="s">
        <v>2553</v>
      </c>
      <c r="E2463" t="s">
        <v>4</v>
      </c>
      <c r="F2463">
        <v>11</v>
      </c>
      <c r="H2463" t="s">
        <v>5</v>
      </c>
      <c r="I2463" s="1">
        <v>81.489999999999995</v>
      </c>
      <c r="J2463" s="1">
        <v>73.34</v>
      </c>
      <c r="K2463" t="s">
        <v>6</v>
      </c>
    </row>
    <row r="2464" spans="1:11">
      <c r="A2464" t="s">
        <v>2452</v>
      </c>
      <c r="B2464">
        <v>531300</v>
      </c>
      <c r="C2464" s="2" t="str">
        <f>"ML-88-VN"</f>
        <v>ML-88-VN</v>
      </c>
      <c r="D2464" t="s">
        <v>2554</v>
      </c>
      <c r="E2464" t="s">
        <v>4</v>
      </c>
      <c r="F2464">
        <v>15</v>
      </c>
      <c r="H2464" t="s">
        <v>5</v>
      </c>
      <c r="I2464" s="1">
        <v>154.77000000000001</v>
      </c>
      <c r="J2464" s="1">
        <v>139.29</v>
      </c>
      <c r="K2464" t="s">
        <v>6</v>
      </c>
    </row>
    <row r="2465" spans="1:11">
      <c r="A2465" t="s">
        <v>2452</v>
      </c>
      <c r="B2465">
        <v>531404</v>
      </c>
      <c r="C2465" s="2" t="str">
        <f>"ML-94-VN"</f>
        <v>ML-94-VN</v>
      </c>
      <c r="D2465" t="s">
        <v>2555</v>
      </c>
      <c r="E2465" t="s">
        <v>4</v>
      </c>
      <c r="F2465">
        <v>13</v>
      </c>
      <c r="H2465" t="s">
        <v>5</v>
      </c>
      <c r="I2465" s="1">
        <v>116.07</v>
      </c>
      <c r="J2465" s="1">
        <v>104.46</v>
      </c>
      <c r="K2465" t="s">
        <v>6</v>
      </c>
    </row>
    <row r="2466" spans="1:11">
      <c r="A2466" t="s">
        <v>2452</v>
      </c>
      <c r="B2466">
        <v>531266</v>
      </c>
      <c r="C2466" s="2" t="str">
        <f>"NP-9-DI"</f>
        <v>NP-9-DI</v>
      </c>
      <c r="D2466" t="s">
        <v>2556</v>
      </c>
      <c r="E2466" t="s">
        <v>4</v>
      </c>
      <c r="F2466">
        <v>17</v>
      </c>
      <c r="H2466" t="s">
        <v>5</v>
      </c>
      <c r="I2466" s="1">
        <v>157.79</v>
      </c>
      <c r="J2466" s="1">
        <v>142.01</v>
      </c>
      <c r="K2466" t="s">
        <v>6</v>
      </c>
    </row>
    <row r="2467" spans="1:11">
      <c r="A2467" t="s">
        <v>2452</v>
      </c>
      <c r="B2467">
        <v>531264</v>
      </c>
      <c r="C2467" s="2" t="str">
        <f>"OB-938-R"</f>
        <v>OB-938-R</v>
      </c>
      <c r="D2467" t="s">
        <v>2557</v>
      </c>
      <c r="E2467" t="s">
        <v>4</v>
      </c>
      <c r="F2467">
        <v>5</v>
      </c>
      <c r="H2467" t="s">
        <v>5</v>
      </c>
      <c r="I2467" s="1">
        <v>20.87</v>
      </c>
      <c r="J2467" s="1">
        <v>18.78</v>
      </c>
      <c r="K2467" t="s">
        <v>6</v>
      </c>
    </row>
    <row r="2468" spans="1:11">
      <c r="A2468" t="s">
        <v>2452</v>
      </c>
      <c r="B2468">
        <v>534400</v>
      </c>
      <c r="C2468" s="2" t="str">
        <f>"OP-610-T"</f>
        <v>OP-610-T</v>
      </c>
      <c r="D2468" t="s">
        <v>2558</v>
      </c>
      <c r="E2468" t="s">
        <v>4</v>
      </c>
      <c r="F2468">
        <v>10</v>
      </c>
      <c r="H2468" t="s">
        <v>5</v>
      </c>
      <c r="I2468" s="1">
        <v>74.06</v>
      </c>
      <c r="J2468" s="1">
        <v>66.650000000000006</v>
      </c>
      <c r="K2468" t="s">
        <v>6</v>
      </c>
    </row>
    <row r="2469" spans="1:11">
      <c r="A2469" t="s">
        <v>2452</v>
      </c>
      <c r="B2469">
        <v>534401</v>
      </c>
      <c r="C2469" s="2" t="str">
        <f>"OP-610-W"</f>
        <v>OP-610-W</v>
      </c>
      <c r="D2469" t="s">
        <v>2559</v>
      </c>
      <c r="E2469" t="s">
        <v>4</v>
      </c>
      <c r="F2469">
        <v>10</v>
      </c>
      <c r="H2469" t="s">
        <v>5</v>
      </c>
      <c r="I2469" s="1">
        <v>74.06</v>
      </c>
      <c r="J2469" s="1">
        <v>66.650000000000006</v>
      </c>
      <c r="K2469" t="s">
        <v>6</v>
      </c>
    </row>
    <row r="2470" spans="1:11">
      <c r="A2470" t="s">
        <v>2452</v>
      </c>
      <c r="B2470">
        <v>528111</v>
      </c>
      <c r="C2470" s="2" t="str">
        <f>"OP-612-T"</f>
        <v>OP-612-T</v>
      </c>
      <c r="D2470" t="s">
        <v>2560</v>
      </c>
      <c r="E2470" t="s">
        <v>4</v>
      </c>
      <c r="F2470">
        <v>14</v>
      </c>
      <c r="H2470" t="s">
        <v>5</v>
      </c>
      <c r="I2470" s="1">
        <v>96.16</v>
      </c>
      <c r="J2470" s="1">
        <v>86.55</v>
      </c>
      <c r="K2470" t="s">
        <v>6</v>
      </c>
    </row>
    <row r="2471" spans="1:11">
      <c r="A2471" t="s">
        <v>2452</v>
      </c>
      <c r="B2471">
        <v>528112</v>
      </c>
      <c r="C2471" s="2" t="str">
        <f>"OP-612-W"</f>
        <v>OP-612-W</v>
      </c>
      <c r="D2471" t="s">
        <v>2561</v>
      </c>
      <c r="E2471" t="s">
        <v>4</v>
      </c>
      <c r="F2471">
        <v>14</v>
      </c>
      <c r="H2471" t="s">
        <v>5</v>
      </c>
      <c r="I2471" s="1">
        <v>96.16</v>
      </c>
      <c r="J2471" s="1">
        <v>86.55</v>
      </c>
      <c r="K2471" t="s">
        <v>6</v>
      </c>
    </row>
    <row r="2472" spans="1:11">
      <c r="A2472" t="s">
        <v>2452</v>
      </c>
      <c r="B2472">
        <v>528113</v>
      </c>
      <c r="C2472" s="2" t="str">
        <f>"P-3064-CL"</f>
        <v>P-3064-CL</v>
      </c>
      <c r="D2472" t="s">
        <v>2562</v>
      </c>
      <c r="E2472" t="s">
        <v>4</v>
      </c>
      <c r="F2472">
        <v>15</v>
      </c>
      <c r="H2472" t="s">
        <v>5</v>
      </c>
      <c r="I2472" s="1">
        <v>78.86</v>
      </c>
      <c r="J2472" s="1">
        <v>70.97</v>
      </c>
      <c r="K2472" t="s">
        <v>6</v>
      </c>
    </row>
    <row r="2473" spans="1:11">
      <c r="A2473" t="s">
        <v>2452</v>
      </c>
      <c r="B2473">
        <v>528114</v>
      </c>
      <c r="C2473" s="2" t="str">
        <f>"RB-880-BK"</f>
        <v>RB-880-BK</v>
      </c>
      <c r="D2473" t="s">
        <v>2563</v>
      </c>
      <c r="E2473" t="s">
        <v>4</v>
      </c>
      <c r="F2473">
        <v>7</v>
      </c>
      <c r="H2473" t="s">
        <v>5</v>
      </c>
      <c r="I2473" s="1">
        <v>45.08</v>
      </c>
      <c r="J2473" s="1">
        <v>40.57</v>
      </c>
      <c r="K2473" t="s">
        <v>6</v>
      </c>
    </row>
    <row r="2474" spans="1:11">
      <c r="A2474" t="s">
        <v>2452</v>
      </c>
      <c r="B2474">
        <v>528115</v>
      </c>
      <c r="C2474" s="2" t="str">
        <f>"RB-892-BK"</f>
        <v>RB-892-BK</v>
      </c>
      <c r="D2474" t="s">
        <v>2564</v>
      </c>
      <c r="E2474" t="s">
        <v>4</v>
      </c>
      <c r="F2474">
        <v>5</v>
      </c>
      <c r="H2474" t="s">
        <v>5</v>
      </c>
      <c r="I2474" s="1">
        <v>33.92</v>
      </c>
      <c r="J2474" s="1">
        <v>30.53</v>
      </c>
      <c r="K2474" t="s">
        <v>6</v>
      </c>
    </row>
    <row r="2475" spans="1:11">
      <c r="A2475" t="s">
        <v>2452</v>
      </c>
      <c r="B2475">
        <v>532955</v>
      </c>
      <c r="C2475" s="2" t="str">
        <f>"RM-387-IV"</f>
        <v>RM-387-IV</v>
      </c>
      <c r="D2475" t="s">
        <v>2539</v>
      </c>
      <c r="E2475" t="s">
        <v>4</v>
      </c>
      <c r="F2475">
        <v>6</v>
      </c>
      <c r="H2475" t="s">
        <v>5</v>
      </c>
      <c r="I2475" s="1">
        <v>51.27</v>
      </c>
      <c r="J2475" s="1">
        <v>46.14</v>
      </c>
      <c r="K2475" t="s">
        <v>6</v>
      </c>
    </row>
    <row r="2476" spans="1:11">
      <c r="A2476" t="s">
        <v>2452</v>
      </c>
      <c r="B2476">
        <v>531307</v>
      </c>
      <c r="C2476" s="2" t="str">
        <f>"RM-387-W"</f>
        <v>RM-387-W</v>
      </c>
      <c r="D2476" t="s">
        <v>2565</v>
      </c>
      <c r="E2476" t="s">
        <v>4</v>
      </c>
      <c r="F2476">
        <v>6</v>
      </c>
      <c r="H2476" t="s">
        <v>5</v>
      </c>
      <c r="I2476" s="1">
        <v>51.27</v>
      </c>
      <c r="J2476" s="1">
        <v>46.14</v>
      </c>
      <c r="K2476" t="s">
        <v>6</v>
      </c>
    </row>
    <row r="2477" spans="1:11">
      <c r="A2477" t="s">
        <v>2452</v>
      </c>
      <c r="B2477">
        <v>531308</v>
      </c>
      <c r="C2477" s="2" t="str">
        <f>"RM-388-BR"</f>
        <v>RM-388-BR</v>
      </c>
      <c r="D2477" t="s">
        <v>2566</v>
      </c>
      <c r="E2477" t="s">
        <v>4</v>
      </c>
      <c r="F2477">
        <v>8</v>
      </c>
      <c r="H2477" t="s">
        <v>5</v>
      </c>
      <c r="I2477" s="1">
        <v>65.400000000000006</v>
      </c>
      <c r="J2477" s="1">
        <v>58.86</v>
      </c>
      <c r="K2477" t="s">
        <v>6</v>
      </c>
    </row>
    <row r="2478" spans="1:11">
      <c r="A2478" t="s">
        <v>2452</v>
      </c>
      <c r="B2478">
        <v>532956</v>
      </c>
      <c r="C2478" s="2" t="str">
        <f>"RM-388-IV"</f>
        <v>RM-388-IV</v>
      </c>
      <c r="D2478" t="s">
        <v>2567</v>
      </c>
      <c r="E2478" t="s">
        <v>4</v>
      </c>
      <c r="F2478">
        <v>8</v>
      </c>
      <c r="H2478" t="s">
        <v>5</v>
      </c>
      <c r="I2478" s="1">
        <v>65.400000000000006</v>
      </c>
      <c r="J2478" s="1">
        <v>58.86</v>
      </c>
      <c r="K2478" t="s">
        <v>6</v>
      </c>
    </row>
    <row r="2479" spans="1:11">
      <c r="A2479" t="s">
        <v>2452</v>
      </c>
      <c r="B2479">
        <v>528116</v>
      </c>
      <c r="C2479" s="2" t="str">
        <f>"RM-388-MIX"</f>
        <v>RM-388-MIX</v>
      </c>
      <c r="D2479" t="s">
        <v>2568</v>
      </c>
      <c r="E2479" t="s">
        <v>4</v>
      </c>
      <c r="F2479">
        <v>8</v>
      </c>
      <c r="H2479" t="s">
        <v>5</v>
      </c>
      <c r="I2479" s="1">
        <v>68.849999999999994</v>
      </c>
      <c r="J2479" s="1">
        <v>61.96</v>
      </c>
      <c r="K2479" t="s">
        <v>6</v>
      </c>
    </row>
    <row r="2480" spans="1:11">
      <c r="A2480" t="s">
        <v>2452</v>
      </c>
      <c r="B2480">
        <v>531310</v>
      </c>
      <c r="C2480" s="2" t="str">
        <f>"RM-400-BK"</f>
        <v>RM-400-BK</v>
      </c>
      <c r="D2480" t="s">
        <v>2569</v>
      </c>
      <c r="E2480" t="s">
        <v>4</v>
      </c>
      <c r="F2480">
        <v>9</v>
      </c>
      <c r="H2480" t="s">
        <v>5</v>
      </c>
      <c r="I2480" s="1">
        <v>69.680000000000007</v>
      </c>
      <c r="J2480" s="1">
        <v>62.71</v>
      </c>
      <c r="K2480" t="s">
        <v>6</v>
      </c>
    </row>
    <row r="2481" spans="1:11">
      <c r="A2481" t="s">
        <v>2452</v>
      </c>
      <c r="B2481">
        <v>528117</v>
      </c>
      <c r="C2481" s="2" t="str">
        <f>"RM-400-IV"</f>
        <v>RM-400-IV</v>
      </c>
      <c r="D2481" t="s">
        <v>2570</v>
      </c>
      <c r="E2481" t="s">
        <v>4</v>
      </c>
      <c r="F2481">
        <v>9</v>
      </c>
      <c r="H2481" t="s">
        <v>5</v>
      </c>
      <c r="I2481" s="1">
        <v>69.680000000000007</v>
      </c>
      <c r="J2481" s="1">
        <v>62.71</v>
      </c>
      <c r="K2481" t="s">
        <v>6</v>
      </c>
    </row>
    <row r="2482" spans="1:11">
      <c r="A2482" t="s">
        <v>2452</v>
      </c>
      <c r="B2482">
        <v>531312</v>
      </c>
      <c r="C2482" s="2" t="str">
        <f>"RM-401-BK"</f>
        <v>RM-401-BK</v>
      </c>
      <c r="D2482" t="s">
        <v>2571</v>
      </c>
      <c r="E2482" t="s">
        <v>4</v>
      </c>
      <c r="F2482">
        <v>9</v>
      </c>
      <c r="H2482" t="s">
        <v>5</v>
      </c>
      <c r="I2482" s="1">
        <v>69.680000000000007</v>
      </c>
      <c r="J2482" s="1">
        <v>62.71</v>
      </c>
      <c r="K2482" t="s">
        <v>6</v>
      </c>
    </row>
    <row r="2483" spans="1:11">
      <c r="A2483" t="s">
        <v>2452</v>
      </c>
      <c r="B2483">
        <v>528118</v>
      </c>
      <c r="C2483" s="2" t="str">
        <f>"RM-401-IV"</f>
        <v>RM-401-IV</v>
      </c>
      <c r="D2483" t="s">
        <v>2572</v>
      </c>
      <c r="E2483" t="s">
        <v>4</v>
      </c>
      <c r="F2483">
        <v>9</v>
      </c>
      <c r="H2483" t="s">
        <v>5</v>
      </c>
      <c r="I2483" s="1">
        <v>69.680000000000007</v>
      </c>
      <c r="J2483" s="1">
        <v>62.71</v>
      </c>
      <c r="K2483" t="s">
        <v>6</v>
      </c>
    </row>
    <row r="2484" spans="1:11">
      <c r="A2484" t="s">
        <v>2452</v>
      </c>
      <c r="B2484">
        <v>531326</v>
      </c>
      <c r="C2484" s="2" t="str">
        <f>"S-15-1-CL"</f>
        <v>S-15-1-CL</v>
      </c>
      <c r="D2484" t="s">
        <v>2573</v>
      </c>
      <c r="E2484" t="s">
        <v>4</v>
      </c>
      <c r="F2484">
        <v>7</v>
      </c>
      <c r="H2484" t="s">
        <v>5</v>
      </c>
      <c r="I2484" s="1">
        <v>45.77</v>
      </c>
      <c r="J2484" s="1">
        <v>41.19</v>
      </c>
      <c r="K2484" t="s">
        <v>6</v>
      </c>
    </row>
    <row r="2485" spans="1:11">
      <c r="A2485" t="s">
        <v>2452</v>
      </c>
      <c r="B2485">
        <v>531334</v>
      </c>
      <c r="C2485" s="2" t="str">
        <f>"S-16-1-CL"</f>
        <v>S-16-1-CL</v>
      </c>
      <c r="D2485" t="s">
        <v>2574</v>
      </c>
      <c r="E2485" t="s">
        <v>4</v>
      </c>
      <c r="F2485">
        <v>7</v>
      </c>
      <c r="H2485" t="s">
        <v>5</v>
      </c>
      <c r="I2485" s="1">
        <v>45.77</v>
      </c>
      <c r="J2485" s="1">
        <v>41.19</v>
      </c>
      <c r="K2485" t="s">
        <v>6</v>
      </c>
    </row>
    <row r="2486" spans="1:11">
      <c r="A2486" t="s">
        <v>2452</v>
      </c>
      <c r="B2486">
        <v>550476</v>
      </c>
      <c r="C2486" s="2" t="str">
        <f>"S-610-BK"</f>
        <v>S-610-BK</v>
      </c>
      <c r="D2486" t="s">
        <v>2575</v>
      </c>
      <c r="E2486" t="s">
        <v>4</v>
      </c>
      <c r="F2486">
        <v>4</v>
      </c>
      <c r="H2486" t="s">
        <v>5</v>
      </c>
      <c r="I2486" s="1">
        <v>44.21</v>
      </c>
      <c r="J2486" s="1">
        <v>39.79</v>
      </c>
      <c r="K2486" t="s">
        <v>6</v>
      </c>
    </row>
    <row r="2487" spans="1:11">
      <c r="A2487" t="s">
        <v>2452</v>
      </c>
      <c r="B2487">
        <v>528119</v>
      </c>
      <c r="C2487" s="2" t="str">
        <f>"S-620-BW"</f>
        <v>S-620-BW</v>
      </c>
      <c r="D2487" t="s">
        <v>2576</v>
      </c>
      <c r="E2487" t="s">
        <v>4</v>
      </c>
      <c r="F2487">
        <v>6</v>
      </c>
      <c r="H2487" t="s">
        <v>5</v>
      </c>
      <c r="I2487" s="1">
        <v>45.35</v>
      </c>
      <c r="J2487" s="1">
        <v>40.82</v>
      </c>
      <c r="K2487" t="s">
        <v>6</v>
      </c>
    </row>
    <row r="2488" spans="1:11">
      <c r="A2488" t="s">
        <v>2452</v>
      </c>
      <c r="B2488">
        <v>531313</v>
      </c>
      <c r="C2488" s="2" t="str">
        <f>"S-620-CB"</f>
        <v>S-620-CB</v>
      </c>
      <c r="D2488" t="s">
        <v>2577</v>
      </c>
      <c r="E2488" t="s">
        <v>4</v>
      </c>
      <c r="F2488">
        <v>6</v>
      </c>
      <c r="H2488" t="s">
        <v>5</v>
      </c>
      <c r="I2488" s="1">
        <v>45.35</v>
      </c>
      <c r="J2488" s="1">
        <v>40.82</v>
      </c>
      <c r="K2488" t="s">
        <v>6</v>
      </c>
    </row>
    <row r="2489" spans="1:11">
      <c r="A2489" t="s">
        <v>2452</v>
      </c>
      <c r="B2489">
        <v>528120</v>
      </c>
      <c r="C2489" s="2" t="str">
        <f>"S-630-BK"</f>
        <v>S-630-BK</v>
      </c>
      <c r="D2489" t="s">
        <v>2578</v>
      </c>
      <c r="E2489" t="s">
        <v>4</v>
      </c>
      <c r="F2489">
        <v>7</v>
      </c>
      <c r="H2489" t="s">
        <v>5</v>
      </c>
      <c r="I2489" s="1">
        <v>51.27</v>
      </c>
      <c r="J2489" s="1">
        <v>46.14</v>
      </c>
      <c r="K2489" t="s">
        <v>6</v>
      </c>
    </row>
    <row r="2490" spans="1:11">
      <c r="A2490" t="s">
        <v>2452</v>
      </c>
      <c r="B2490">
        <v>528121</v>
      </c>
      <c r="C2490" s="2" t="str">
        <f>"SC-66-BK"</f>
        <v>SC-66-BK</v>
      </c>
      <c r="D2490" t="s">
        <v>2579</v>
      </c>
      <c r="E2490" t="s">
        <v>4</v>
      </c>
      <c r="F2490">
        <v>3</v>
      </c>
      <c r="H2490" t="s">
        <v>5</v>
      </c>
      <c r="I2490" s="1">
        <v>24.14</v>
      </c>
      <c r="J2490" s="1">
        <v>21.73</v>
      </c>
      <c r="K2490" t="s">
        <v>6</v>
      </c>
    </row>
    <row r="2491" spans="1:11">
      <c r="A2491" t="s">
        <v>2452</v>
      </c>
      <c r="B2491">
        <v>531314</v>
      </c>
      <c r="C2491" s="2" t="str">
        <f>"SD-05-BK"</f>
        <v>SD-05-BK</v>
      </c>
      <c r="D2491" t="s">
        <v>2580</v>
      </c>
      <c r="E2491" t="s">
        <v>4</v>
      </c>
      <c r="F2491">
        <v>9</v>
      </c>
      <c r="H2491" t="s">
        <v>5</v>
      </c>
      <c r="I2491" s="1">
        <v>61.9</v>
      </c>
      <c r="J2491" s="1">
        <v>55.71</v>
      </c>
      <c r="K2491" t="s">
        <v>6</v>
      </c>
    </row>
    <row r="2492" spans="1:11">
      <c r="A2492" t="s">
        <v>2452</v>
      </c>
      <c r="B2492">
        <v>568558</v>
      </c>
      <c r="C2492" s="2" t="str">
        <f>"SN-104-CL"</f>
        <v>SN-104-CL</v>
      </c>
      <c r="D2492" t="s">
        <v>2581</v>
      </c>
      <c r="E2492" t="s">
        <v>4</v>
      </c>
      <c r="F2492">
        <v>8</v>
      </c>
      <c r="H2492" t="s">
        <v>5</v>
      </c>
      <c r="I2492" s="1">
        <v>102.99</v>
      </c>
      <c r="J2492" s="1">
        <v>92.69</v>
      </c>
      <c r="K2492" t="s">
        <v>6</v>
      </c>
    </row>
    <row r="2493" spans="1:11">
      <c r="A2493" t="s">
        <v>2452</v>
      </c>
      <c r="B2493">
        <v>528122</v>
      </c>
      <c r="C2493" s="2" t="str">
        <f>"STRAPS"</f>
        <v>STRAPS</v>
      </c>
      <c r="D2493" t="s">
        <v>2582</v>
      </c>
      <c r="E2493" t="s">
        <v>4</v>
      </c>
      <c r="F2493">
        <v>1</v>
      </c>
      <c r="H2493" t="s">
        <v>5</v>
      </c>
      <c r="I2493" s="1">
        <v>6.59</v>
      </c>
      <c r="J2493" s="1">
        <v>5.93</v>
      </c>
      <c r="K2493" t="s">
        <v>6</v>
      </c>
    </row>
    <row r="2494" spans="1:11">
      <c r="A2494" t="s">
        <v>2452</v>
      </c>
      <c r="B2494">
        <v>529935</v>
      </c>
      <c r="C2494" s="2" t="str">
        <f>"SW-1401-1-SAN-C"</f>
        <v>SW-1401-1-SAN-C</v>
      </c>
      <c r="D2494" t="s">
        <v>2583</v>
      </c>
      <c r="E2494" t="s">
        <v>4</v>
      </c>
      <c r="F2494">
        <v>7</v>
      </c>
      <c r="H2494" t="s">
        <v>5</v>
      </c>
      <c r="I2494" s="1">
        <v>72.09</v>
      </c>
      <c r="J2494" s="1">
        <v>64.88</v>
      </c>
      <c r="K2494" t="s">
        <v>6</v>
      </c>
    </row>
    <row r="2495" spans="1:11">
      <c r="A2495" t="s">
        <v>2452</v>
      </c>
      <c r="B2495">
        <v>533140</v>
      </c>
      <c r="C2495" s="2" t="str">
        <f>"SW-1402CL"</f>
        <v>SW-1402CL</v>
      </c>
      <c r="D2495" t="s">
        <v>2584</v>
      </c>
      <c r="E2495" t="s">
        <v>4</v>
      </c>
      <c r="F2495">
        <v>6</v>
      </c>
      <c r="H2495" t="s">
        <v>5</v>
      </c>
      <c r="I2495" s="1">
        <v>72.09</v>
      </c>
      <c r="J2495" s="1">
        <v>64.88</v>
      </c>
      <c r="K2495" t="s">
        <v>6</v>
      </c>
    </row>
    <row r="2496" spans="1:11">
      <c r="A2496" t="s">
        <v>2452</v>
      </c>
      <c r="B2496">
        <v>531337</v>
      </c>
      <c r="C2496" s="2" t="str">
        <f>"SW-1404-CL"</f>
        <v>SW-1404-CL</v>
      </c>
      <c r="D2496" t="s">
        <v>2585</v>
      </c>
      <c r="E2496" t="s">
        <v>4</v>
      </c>
      <c r="F2496">
        <v>8</v>
      </c>
      <c r="H2496" t="s">
        <v>5</v>
      </c>
      <c r="I2496" s="1">
        <v>72.09</v>
      </c>
      <c r="J2496" s="1">
        <v>64.88</v>
      </c>
      <c r="K2496" t="s">
        <v>6</v>
      </c>
    </row>
    <row r="2497" spans="1:12">
      <c r="A2497" t="s">
        <v>2452</v>
      </c>
      <c r="B2497">
        <v>531339</v>
      </c>
      <c r="C2497" s="2" t="str">
        <f>"SW-1406-CL"</f>
        <v>SW-1406-CL</v>
      </c>
      <c r="D2497" t="s">
        <v>2585</v>
      </c>
      <c r="E2497" t="s">
        <v>4</v>
      </c>
      <c r="F2497">
        <v>8</v>
      </c>
      <c r="H2497" t="s">
        <v>5</v>
      </c>
      <c r="I2497" s="1">
        <v>72.09</v>
      </c>
      <c r="J2497" s="1">
        <v>64.88</v>
      </c>
      <c r="K2497" t="s">
        <v>6</v>
      </c>
    </row>
    <row r="2498" spans="1:12">
      <c r="A2498" t="s">
        <v>2452</v>
      </c>
      <c r="B2498">
        <v>531340</v>
      </c>
      <c r="C2498" s="2" t="str">
        <f>"SW-1408-CL"</f>
        <v>SW-1408-CL</v>
      </c>
      <c r="D2498" t="s">
        <v>2586</v>
      </c>
      <c r="E2498" t="s">
        <v>4</v>
      </c>
      <c r="F2498">
        <v>3</v>
      </c>
      <c r="H2498" t="s">
        <v>5</v>
      </c>
      <c r="I2498" s="1">
        <v>25.75</v>
      </c>
      <c r="J2498" s="1">
        <v>23.17</v>
      </c>
      <c r="K2498" t="s">
        <v>6</v>
      </c>
    </row>
    <row r="2499" spans="1:12">
      <c r="A2499" t="s">
        <v>2452</v>
      </c>
      <c r="B2499">
        <v>531343</v>
      </c>
      <c r="C2499" s="2" t="str">
        <f>"SW-1409-CL"</f>
        <v>SW-1409-CL</v>
      </c>
      <c r="D2499" t="s">
        <v>2587</v>
      </c>
      <c r="E2499" t="s">
        <v>4</v>
      </c>
      <c r="F2499">
        <v>3</v>
      </c>
      <c r="H2499" t="s">
        <v>5</v>
      </c>
      <c r="I2499" s="1">
        <v>25.75</v>
      </c>
      <c r="J2499" s="1">
        <v>23.17</v>
      </c>
      <c r="K2499" t="s">
        <v>6</v>
      </c>
    </row>
    <row r="2500" spans="1:12">
      <c r="A2500" t="s">
        <v>2452</v>
      </c>
      <c r="B2500">
        <v>531345</v>
      </c>
      <c r="C2500" s="2" t="str">
        <f>"SW-1419-1-SAN-C"</f>
        <v>SW-1419-1-SAN-C</v>
      </c>
      <c r="D2500" t="s">
        <v>2588</v>
      </c>
      <c r="E2500" t="s">
        <v>4</v>
      </c>
      <c r="F2500">
        <v>6</v>
      </c>
      <c r="H2500" t="s">
        <v>5</v>
      </c>
      <c r="I2500" s="1">
        <v>42.92</v>
      </c>
      <c r="J2500" s="1">
        <v>38.630000000000003</v>
      </c>
      <c r="K2500" t="s">
        <v>6</v>
      </c>
    </row>
    <row r="2501" spans="1:12">
      <c r="A2501" t="s">
        <v>2452</v>
      </c>
      <c r="B2501">
        <v>528874</v>
      </c>
      <c r="C2501" s="2" t="str">
        <f>"SW-1423-CL"</f>
        <v>SW-1423-CL</v>
      </c>
      <c r="D2501" t="s">
        <v>2589</v>
      </c>
      <c r="E2501" t="s">
        <v>4</v>
      </c>
      <c r="F2501">
        <v>10</v>
      </c>
      <c r="H2501" t="s">
        <v>5</v>
      </c>
      <c r="I2501" s="1">
        <v>85.64</v>
      </c>
      <c r="J2501" s="1">
        <v>77.08</v>
      </c>
      <c r="K2501" t="s">
        <v>6</v>
      </c>
    </row>
    <row r="2502" spans="1:12">
      <c r="A2502" t="s">
        <v>2452</v>
      </c>
      <c r="B2502">
        <v>531347</v>
      </c>
      <c r="C2502" s="2" t="str">
        <f>"SW-1426-CL"</f>
        <v>SW-1426-CL</v>
      </c>
      <c r="D2502" t="s">
        <v>2590</v>
      </c>
      <c r="E2502" t="s">
        <v>4</v>
      </c>
      <c r="F2502">
        <v>10</v>
      </c>
      <c r="H2502" t="s">
        <v>5</v>
      </c>
      <c r="I2502" s="1">
        <v>92.25</v>
      </c>
      <c r="J2502" s="1">
        <v>83.02</v>
      </c>
      <c r="K2502" t="s">
        <v>6</v>
      </c>
    </row>
    <row r="2503" spans="1:12">
      <c r="A2503" t="s">
        <v>2452</v>
      </c>
      <c r="B2503">
        <v>531309</v>
      </c>
      <c r="C2503" s="2" t="str">
        <f>"SW-1427CL"</f>
        <v>SW-1427CL</v>
      </c>
      <c r="D2503" t="s">
        <v>2591</v>
      </c>
      <c r="E2503" t="s">
        <v>4</v>
      </c>
      <c r="F2503">
        <v>3</v>
      </c>
      <c r="H2503" t="s">
        <v>5</v>
      </c>
      <c r="I2503" s="1">
        <v>32.76</v>
      </c>
      <c r="J2503" s="1">
        <v>29.48</v>
      </c>
      <c r="K2503" t="s">
        <v>6</v>
      </c>
    </row>
    <row r="2504" spans="1:12">
      <c r="A2504" t="s">
        <v>2452</v>
      </c>
      <c r="B2504">
        <v>531315</v>
      </c>
      <c r="C2504" s="2" t="str">
        <f>"SW-1431CL"</f>
        <v>SW-1431CL</v>
      </c>
      <c r="D2504" t="s">
        <v>2592</v>
      </c>
      <c r="E2504" t="s">
        <v>4</v>
      </c>
      <c r="F2504">
        <v>5</v>
      </c>
      <c r="H2504" t="s">
        <v>5</v>
      </c>
      <c r="I2504" s="1">
        <v>59.57</v>
      </c>
      <c r="J2504" s="1">
        <v>53.62</v>
      </c>
      <c r="K2504" t="s">
        <v>6</v>
      </c>
    </row>
    <row r="2505" spans="1:12">
      <c r="A2505" t="s">
        <v>2452</v>
      </c>
      <c r="B2505">
        <v>528123</v>
      </c>
      <c r="C2505" s="2" t="str">
        <f>"TS-1200-BK"</f>
        <v>TS-1200-BK</v>
      </c>
      <c r="D2505" t="s">
        <v>2593</v>
      </c>
      <c r="E2505" t="s">
        <v>4</v>
      </c>
      <c r="F2505">
        <v>21</v>
      </c>
      <c r="H2505" t="s">
        <v>5</v>
      </c>
      <c r="I2505" s="1">
        <v>142.06</v>
      </c>
      <c r="J2505" s="1">
        <v>127.86</v>
      </c>
      <c r="K2505" t="s">
        <v>6</v>
      </c>
    </row>
    <row r="2506" spans="1:12">
      <c r="A2506" t="s">
        <v>2452</v>
      </c>
      <c r="B2506">
        <v>537135</v>
      </c>
      <c r="C2506" s="2" t="str">
        <f>"TSW-103"</f>
        <v>TSW-103</v>
      </c>
      <c r="D2506" t="s">
        <v>2594</v>
      </c>
      <c r="E2506" t="s">
        <v>4</v>
      </c>
      <c r="F2506">
        <v>30</v>
      </c>
      <c r="G2506">
        <v>7.5</v>
      </c>
      <c r="H2506" t="s">
        <v>153</v>
      </c>
      <c r="I2506" s="1">
        <v>36.65</v>
      </c>
      <c r="J2506" s="1">
        <v>32.979999999999997</v>
      </c>
      <c r="K2506" t="s">
        <v>21</v>
      </c>
      <c r="L2506" s="1">
        <v>36.28</v>
      </c>
    </row>
    <row r="2507" spans="1:12">
      <c r="A2507" t="s">
        <v>2595</v>
      </c>
      <c r="B2507">
        <v>527783</v>
      </c>
      <c r="C2507" s="2" t="str">
        <f>"00205"</f>
        <v>00205</v>
      </c>
      <c r="D2507" t="s">
        <v>2596</v>
      </c>
      <c r="E2507" t="s">
        <v>4</v>
      </c>
      <c r="F2507">
        <v>8.5</v>
      </c>
      <c r="H2507" t="s">
        <v>5</v>
      </c>
      <c r="I2507" s="1">
        <v>166.32</v>
      </c>
      <c r="J2507" s="1">
        <v>164.67</v>
      </c>
      <c r="K2507" t="s">
        <v>6</v>
      </c>
    </row>
    <row r="2508" spans="1:12">
      <c r="A2508" t="s">
        <v>2595</v>
      </c>
      <c r="B2508">
        <v>527782</v>
      </c>
      <c r="C2508" s="2" t="str">
        <f>"00207"</f>
        <v>00207</v>
      </c>
      <c r="D2508" t="s">
        <v>2597</v>
      </c>
      <c r="E2508" t="s">
        <v>4</v>
      </c>
      <c r="F2508">
        <v>28.4</v>
      </c>
      <c r="H2508" t="s">
        <v>5</v>
      </c>
      <c r="I2508" s="1">
        <v>142.63999999999999</v>
      </c>
      <c r="J2508" s="1">
        <v>141.22</v>
      </c>
      <c r="K2508" t="s">
        <v>6</v>
      </c>
    </row>
    <row r="2509" spans="1:12">
      <c r="A2509" t="s">
        <v>2595</v>
      </c>
      <c r="B2509">
        <v>527781</v>
      </c>
      <c r="C2509" s="2" t="str">
        <f>"00211"</f>
        <v>00211</v>
      </c>
      <c r="D2509" t="s">
        <v>2598</v>
      </c>
      <c r="E2509" t="s">
        <v>4</v>
      </c>
      <c r="F2509">
        <v>28.4</v>
      </c>
      <c r="H2509" t="s">
        <v>5</v>
      </c>
      <c r="I2509" s="1">
        <v>103.06</v>
      </c>
      <c r="J2509" s="1">
        <v>102.04</v>
      </c>
      <c r="K2509" t="s">
        <v>6</v>
      </c>
    </row>
    <row r="2510" spans="1:12">
      <c r="A2510" t="s">
        <v>2595</v>
      </c>
      <c r="B2510">
        <v>527891</v>
      </c>
      <c r="C2510" s="2" t="str">
        <f>"13115"</f>
        <v>13115</v>
      </c>
      <c r="D2510" t="s">
        <v>2599</v>
      </c>
      <c r="E2510" t="s">
        <v>4</v>
      </c>
      <c r="F2510">
        <v>41.89</v>
      </c>
      <c r="H2510" t="s">
        <v>5</v>
      </c>
      <c r="I2510" s="1">
        <v>98.02</v>
      </c>
      <c r="J2510" s="1">
        <v>97.05</v>
      </c>
      <c r="K2510" t="s">
        <v>6</v>
      </c>
    </row>
    <row r="2511" spans="1:12">
      <c r="A2511" t="s">
        <v>2595</v>
      </c>
      <c r="B2511">
        <v>527890</v>
      </c>
      <c r="C2511" s="2" t="str">
        <f>"13168"</f>
        <v>13168</v>
      </c>
      <c r="D2511" t="s">
        <v>2600</v>
      </c>
      <c r="E2511" t="s">
        <v>4</v>
      </c>
      <c r="F2511">
        <v>19.84</v>
      </c>
      <c r="H2511" t="s">
        <v>5</v>
      </c>
      <c r="I2511" s="1">
        <v>43.81</v>
      </c>
      <c r="J2511" s="1">
        <v>43.37</v>
      </c>
      <c r="K2511" t="s">
        <v>6</v>
      </c>
    </row>
    <row r="2512" spans="1:12">
      <c r="A2512" t="s">
        <v>2595</v>
      </c>
      <c r="B2512">
        <v>527882</v>
      </c>
      <c r="C2512" s="2" t="str">
        <f>"20019"</f>
        <v>20019</v>
      </c>
      <c r="D2512" t="s">
        <v>2601</v>
      </c>
      <c r="E2512" t="s">
        <v>4</v>
      </c>
      <c r="F2512">
        <v>9.5</v>
      </c>
      <c r="H2512" t="s">
        <v>5</v>
      </c>
      <c r="I2512" s="1">
        <v>24.28</v>
      </c>
      <c r="J2512" s="1">
        <v>24.04</v>
      </c>
      <c r="K2512" t="s">
        <v>6</v>
      </c>
    </row>
    <row r="2513" spans="1:11">
      <c r="A2513" t="s">
        <v>2595</v>
      </c>
      <c r="B2513">
        <v>503713</v>
      </c>
      <c r="C2513" s="2" t="str">
        <f>"20206"</f>
        <v>20206</v>
      </c>
      <c r="D2513" t="s">
        <v>2602</v>
      </c>
      <c r="E2513" t="s">
        <v>4</v>
      </c>
      <c r="F2513">
        <v>8.4</v>
      </c>
      <c r="H2513" t="s">
        <v>5</v>
      </c>
      <c r="I2513" s="1">
        <v>22.93</v>
      </c>
      <c r="J2513" s="1">
        <v>22.7</v>
      </c>
      <c r="K2513" t="s">
        <v>6</v>
      </c>
    </row>
    <row r="2514" spans="1:11">
      <c r="A2514" t="s">
        <v>2595</v>
      </c>
      <c r="B2514">
        <v>503716</v>
      </c>
      <c r="C2514" s="2" t="str">
        <f>"20209"</f>
        <v>20209</v>
      </c>
      <c r="D2514" t="s">
        <v>2603</v>
      </c>
      <c r="E2514" t="s">
        <v>4</v>
      </c>
      <c r="F2514">
        <v>18</v>
      </c>
      <c r="H2514" t="s">
        <v>5</v>
      </c>
      <c r="I2514" s="1">
        <v>49.41</v>
      </c>
      <c r="J2514" s="1">
        <v>48.92</v>
      </c>
      <c r="K2514" t="s">
        <v>6</v>
      </c>
    </row>
    <row r="2515" spans="1:11">
      <c r="A2515" t="s">
        <v>2595</v>
      </c>
      <c r="B2515">
        <v>503717</v>
      </c>
      <c r="C2515" s="2" t="str">
        <f>"20210"</f>
        <v>20210</v>
      </c>
      <c r="D2515" t="s">
        <v>2604</v>
      </c>
      <c r="E2515" t="s">
        <v>4</v>
      </c>
      <c r="F2515">
        <v>25.4</v>
      </c>
      <c r="H2515" t="s">
        <v>5</v>
      </c>
      <c r="I2515" s="1">
        <v>65</v>
      </c>
      <c r="J2515" s="1">
        <v>64.36</v>
      </c>
      <c r="K2515" t="s">
        <v>6</v>
      </c>
    </row>
    <row r="2516" spans="1:11">
      <c r="A2516" t="s">
        <v>2595</v>
      </c>
      <c r="B2516">
        <v>503718</v>
      </c>
      <c r="C2516" s="2" t="str">
        <f>"20213"</f>
        <v>20213</v>
      </c>
      <c r="D2516" t="s">
        <v>2605</v>
      </c>
      <c r="E2516" t="s">
        <v>4</v>
      </c>
      <c r="F2516">
        <v>26.16</v>
      </c>
      <c r="H2516" t="s">
        <v>5</v>
      </c>
      <c r="I2516" s="1">
        <v>65</v>
      </c>
      <c r="J2516" s="1">
        <v>64.36</v>
      </c>
      <c r="K2516" t="s">
        <v>6</v>
      </c>
    </row>
    <row r="2517" spans="1:11">
      <c r="A2517" t="s">
        <v>2595</v>
      </c>
      <c r="B2517">
        <v>503720</v>
      </c>
      <c r="C2517" s="2" t="str">
        <f>"20215"</f>
        <v>20215</v>
      </c>
      <c r="D2517" t="s">
        <v>2606</v>
      </c>
      <c r="E2517" t="s">
        <v>4</v>
      </c>
      <c r="F2517">
        <v>13.6</v>
      </c>
      <c r="H2517" t="s">
        <v>5</v>
      </c>
      <c r="I2517" s="1">
        <v>33.67</v>
      </c>
      <c r="J2517" s="1">
        <v>33.340000000000003</v>
      </c>
      <c r="K2517" t="s">
        <v>6</v>
      </c>
    </row>
    <row r="2518" spans="1:11">
      <c r="A2518" t="s">
        <v>2595</v>
      </c>
      <c r="B2518">
        <v>503721</v>
      </c>
      <c r="C2518" s="2" t="str">
        <f>"22110"</f>
        <v>22110</v>
      </c>
      <c r="D2518" t="s">
        <v>2607</v>
      </c>
      <c r="E2518" t="s">
        <v>4</v>
      </c>
      <c r="F2518">
        <v>18</v>
      </c>
      <c r="H2518" t="s">
        <v>5</v>
      </c>
      <c r="I2518" s="1">
        <v>54.14</v>
      </c>
      <c r="J2518" s="1">
        <v>53.6</v>
      </c>
      <c r="K2518" t="s">
        <v>6</v>
      </c>
    </row>
    <row r="2519" spans="1:11">
      <c r="A2519" t="s">
        <v>2595</v>
      </c>
      <c r="B2519">
        <v>527876</v>
      </c>
      <c r="C2519" s="2" t="str">
        <f>"23055"</f>
        <v>23055</v>
      </c>
      <c r="D2519" t="s">
        <v>2608</v>
      </c>
      <c r="E2519" t="s">
        <v>4</v>
      </c>
      <c r="F2519">
        <v>36.020000000000003</v>
      </c>
      <c r="H2519" t="s">
        <v>5</v>
      </c>
      <c r="I2519" s="1">
        <v>60.51</v>
      </c>
      <c r="J2519" s="1">
        <v>59.92</v>
      </c>
      <c r="K2519" t="s">
        <v>6</v>
      </c>
    </row>
    <row r="2520" spans="1:11">
      <c r="A2520" t="s">
        <v>2595</v>
      </c>
      <c r="B2520">
        <v>527875</v>
      </c>
      <c r="C2520" s="2" t="str">
        <f>"29100"</f>
        <v>29100</v>
      </c>
      <c r="D2520" t="s">
        <v>2609</v>
      </c>
      <c r="E2520" t="s">
        <v>4</v>
      </c>
      <c r="F2520">
        <v>8.64</v>
      </c>
      <c r="H2520" t="s">
        <v>5</v>
      </c>
      <c r="I2520" s="1">
        <v>24.12</v>
      </c>
      <c r="J2520" s="1">
        <v>23.89</v>
      </c>
      <c r="K2520" t="s">
        <v>6</v>
      </c>
    </row>
    <row r="2521" spans="1:11">
      <c r="A2521" t="s">
        <v>2595</v>
      </c>
      <c r="B2521">
        <v>503724</v>
      </c>
      <c r="C2521" s="2" t="str">
        <f>"30306"</f>
        <v>30306</v>
      </c>
      <c r="D2521" t="s">
        <v>2610</v>
      </c>
      <c r="E2521" t="s">
        <v>4</v>
      </c>
      <c r="F2521">
        <v>10.199999999999999</v>
      </c>
      <c r="H2521" t="s">
        <v>5</v>
      </c>
      <c r="I2521" s="1">
        <v>26.43</v>
      </c>
      <c r="J2521" s="1">
        <v>26.17</v>
      </c>
      <c r="K2521" t="s">
        <v>6</v>
      </c>
    </row>
    <row r="2522" spans="1:11">
      <c r="A2522" t="s">
        <v>2595</v>
      </c>
      <c r="B2522">
        <v>503726</v>
      </c>
      <c r="C2522" s="2" t="str">
        <f>"30309"</f>
        <v>30309</v>
      </c>
      <c r="D2522" t="s">
        <v>2611</v>
      </c>
      <c r="E2522" t="s">
        <v>4</v>
      </c>
      <c r="F2522">
        <v>19.8</v>
      </c>
      <c r="H2522" t="s">
        <v>5</v>
      </c>
      <c r="I2522" s="1">
        <v>55.92</v>
      </c>
      <c r="J2522" s="1">
        <v>55.36</v>
      </c>
      <c r="K2522" t="s">
        <v>6</v>
      </c>
    </row>
    <row r="2523" spans="1:11">
      <c r="A2523" t="s">
        <v>2595</v>
      </c>
      <c r="B2523">
        <v>527765</v>
      </c>
      <c r="C2523" s="2" t="str">
        <f>"30311"</f>
        <v>30311</v>
      </c>
      <c r="D2523" t="s">
        <v>2612</v>
      </c>
      <c r="E2523" t="s">
        <v>4</v>
      </c>
      <c r="F2523">
        <v>21</v>
      </c>
      <c r="H2523" t="s">
        <v>5</v>
      </c>
      <c r="I2523" s="1">
        <v>55.92</v>
      </c>
      <c r="J2523" s="1">
        <v>55.36</v>
      </c>
      <c r="K2523" t="s">
        <v>6</v>
      </c>
    </row>
    <row r="2524" spans="1:11">
      <c r="A2524" t="s">
        <v>2595</v>
      </c>
      <c r="B2524">
        <v>527878</v>
      </c>
      <c r="C2524" s="2" t="str">
        <f>"30362"</f>
        <v>30362</v>
      </c>
      <c r="D2524" t="s">
        <v>2613</v>
      </c>
      <c r="E2524" t="s">
        <v>4</v>
      </c>
      <c r="F2524">
        <v>3.5</v>
      </c>
      <c r="H2524" t="s">
        <v>5</v>
      </c>
      <c r="I2524" s="1">
        <v>23.57</v>
      </c>
      <c r="J2524" s="1">
        <v>23.33</v>
      </c>
      <c r="K2524" t="s">
        <v>6</v>
      </c>
    </row>
    <row r="2525" spans="1:11">
      <c r="A2525" t="s">
        <v>2595</v>
      </c>
      <c r="B2525">
        <v>527877</v>
      </c>
      <c r="C2525" s="2" t="str">
        <f>"30365"</f>
        <v>30365</v>
      </c>
      <c r="D2525" t="s">
        <v>2614</v>
      </c>
      <c r="E2525" t="s">
        <v>4</v>
      </c>
      <c r="F2525">
        <v>6</v>
      </c>
      <c r="H2525" t="s">
        <v>5</v>
      </c>
      <c r="I2525" s="1">
        <v>12.43</v>
      </c>
      <c r="J2525" s="1">
        <v>12.31</v>
      </c>
      <c r="K2525" t="s">
        <v>6</v>
      </c>
    </row>
    <row r="2526" spans="1:11">
      <c r="A2526" t="s">
        <v>2595</v>
      </c>
      <c r="B2526">
        <v>527880</v>
      </c>
      <c r="C2526" s="2" t="str">
        <f>"31012"</f>
        <v>31012</v>
      </c>
      <c r="D2526" t="s">
        <v>2615</v>
      </c>
      <c r="E2526" t="s">
        <v>4</v>
      </c>
      <c r="F2526">
        <v>69</v>
      </c>
      <c r="H2526" t="s">
        <v>5</v>
      </c>
      <c r="I2526" s="1">
        <v>46.05</v>
      </c>
      <c r="J2526" s="1">
        <v>45.59</v>
      </c>
      <c r="K2526" t="s">
        <v>6</v>
      </c>
    </row>
    <row r="2527" spans="1:11">
      <c r="A2527" t="s">
        <v>2595</v>
      </c>
      <c r="B2527">
        <v>527881</v>
      </c>
      <c r="C2527" s="2" t="str">
        <f>"32045"</f>
        <v>32045</v>
      </c>
      <c r="D2527" t="s">
        <v>2616</v>
      </c>
      <c r="E2527" t="s">
        <v>4</v>
      </c>
      <c r="F2527">
        <v>30.5</v>
      </c>
      <c r="H2527" t="s">
        <v>5</v>
      </c>
      <c r="I2527" s="1">
        <v>34.76</v>
      </c>
      <c r="J2527" s="1">
        <v>34.42</v>
      </c>
      <c r="K2527" t="s">
        <v>6</v>
      </c>
    </row>
    <row r="2528" spans="1:11">
      <c r="A2528" t="s">
        <v>2595</v>
      </c>
      <c r="B2528">
        <v>527887</v>
      </c>
      <c r="C2528" s="2" t="str">
        <f>"33000"</f>
        <v>33000</v>
      </c>
      <c r="D2528" t="s">
        <v>2617</v>
      </c>
      <c r="E2528" t="s">
        <v>4</v>
      </c>
      <c r="F2528">
        <v>32</v>
      </c>
      <c r="H2528" t="s">
        <v>5</v>
      </c>
      <c r="I2528" s="1">
        <v>69.89</v>
      </c>
      <c r="J2528" s="1">
        <v>69.19</v>
      </c>
      <c r="K2528" t="s">
        <v>6</v>
      </c>
    </row>
    <row r="2529" spans="1:11">
      <c r="A2529" t="s">
        <v>2595</v>
      </c>
      <c r="B2529">
        <v>527888</v>
      </c>
      <c r="C2529" s="2" t="str">
        <f>"33001"</f>
        <v>33001</v>
      </c>
      <c r="D2529" t="s">
        <v>2618</v>
      </c>
      <c r="E2529" t="s">
        <v>4</v>
      </c>
      <c r="F2529">
        <v>35</v>
      </c>
      <c r="H2529" t="s">
        <v>5</v>
      </c>
      <c r="I2529" s="1">
        <v>69.89</v>
      </c>
      <c r="J2529" s="1">
        <v>69.19</v>
      </c>
      <c r="K2529" t="s">
        <v>6</v>
      </c>
    </row>
    <row r="2530" spans="1:11">
      <c r="A2530" t="s">
        <v>2595</v>
      </c>
      <c r="B2530">
        <v>527884</v>
      </c>
      <c r="C2530" s="2" t="str">
        <f>"35007"</f>
        <v>35007</v>
      </c>
      <c r="D2530" t="s">
        <v>2619</v>
      </c>
      <c r="E2530" t="s">
        <v>4</v>
      </c>
      <c r="F2530">
        <v>10</v>
      </c>
      <c r="H2530" t="s">
        <v>5</v>
      </c>
      <c r="I2530" s="1">
        <v>61.76</v>
      </c>
      <c r="J2530" s="1">
        <v>61.15</v>
      </c>
      <c r="K2530" t="s">
        <v>6</v>
      </c>
    </row>
    <row r="2531" spans="1:11">
      <c r="A2531" t="s">
        <v>2595</v>
      </c>
      <c r="B2531">
        <v>527885</v>
      </c>
      <c r="C2531" s="2" t="str">
        <f>"35009"</f>
        <v>35009</v>
      </c>
      <c r="D2531" t="s">
        <v>2620</v>
      </c>
      <c r="E2531" t="s">
        <v>4</v>
      </c>
      <c r="F2531">
        <v>10.1</v>
      </c>
      <c r="H2531" t="s">
        <v>5</v>
      </c>
      <c r="I2531" s="1">
        <v>61.76</v>
      </c>
      <c r="J2531" s="1">
        <v>61.15</v>
      </c>
      <c r="K2531" t="s">
        <v>6</v>
      </c>
    </row>
    <row r="2532" spans="1:11">
      <c r="A2532" t="s">
        <v>2595</v>
      </c>
      <c r="B2532">
        <v>527886</v>
      </c>
      <c r="C2532" s="2" t="str">
        <f>"35010"</f>
        <v>35010</v>
      </c>
      <c r="D2532" t="s">
        <v>2621</v>
      </c>
      <c r="E2532" t="s">
        <v>4</v>
      </c>
      <c r="F2532">
        <v>10.3</v>
      </c>
      <c r="H2532" t="s">
        <v>5</v>
      </c>
      <c r="I2532" s="1">
        <v>61.76</v>
      </c>
      <c r="J2532" s="1">
        <v>61.15</v>
      </c>
      <c r="K2532" t="s">
        <v>6</v>
      </c>
    </row>
    <row r="2533" spans="1:11">
      <c r="A2533" t="s">
        <v>2595</v>
      </c>
      <c r="B2533">
        <v>527879</v>
      </c>
      <c r="C2533" s="2" t="str">
        <f>"35811"</f>
        <v>35811</v>
      </c>
      <c r="D2533" t="s">
        <v>2622</v>
      </c>
      <c r="E2533" t="s">
        <v>4</v>
      </c>
      <c r="F2533">
        <v>23</v>
      </c>
      <c r="H2533" t="s">
        <v>5</v>
      </c>
      <c r="I2533" s="1">
        <v>53.67</v>
      </c>
      <c r="J2533" s="1">
        <v>53.14</v>
      </c>
      <c r="K2533" t="s">
        <v>6</v>
      </c>
    </row>
    <row r="2534" spans="1:11">
      <c r="A2534" t="s">
        <v>2595</v>
      </c>
      <c r="B2534">
        <v>503728</v>
      </c>
      <c r="C2534" s="2" t="str">
        <f>"40407"</f>
        <v>40407</v>
      </c>
      <c r="D2534" t="s">
        <v>2623</v>
      </c>
      <c r="E2534" t="s">
        <v>4</v>
      </c>
      <c r="F2534">
        <v>8.1999999999999993</v>
      </c>
      <c r="H2534" t="s">
        <v>5</v>
      </c>
      <c r="I2534" s="1">
        <v>27.01</v>
      </c>
      <c r="J2534" s="1">
        <v>26.74</v>
      </c>
      <c r="K2534" t="s">
        <v>6</v>
      </c>
    </row>
    <row r="2535" spans="1:11">
      <c r="A2535" t="s">
        <v>2595</v>
      </c>
      <c r="B2535">
        <v>503729</v>
      </c>
      <c r="C2535" s="2" t="str">
        <f>"40409"</f>
        <v>40409</v>
      </c>
      <c r="D2535" t="s">
        <v>2624</v>
      </c>
      <c r="E2535" t="s">
        <v>4</v>
      </c>
      <c r="F2535">
        <v>15.4</v>
      </c>
      <c r="H2535" t="s">
        <v>5</v>
      </c>
      <c r="I2535" s="1">
        <v>43.93</v>
      </c>
      <c r="J2535" s="1">
        <v>43.5</v>
      </c>
      <c r="K2535" t="s">
        <v>6</v>
      </c>
    </row>
    <row r="2536" spans="1:11">
      <c r="A2536" t="s">
        <v>2595</v>
      </c>
      <c r="B2536">
        <v>503730</v>
      </c>
      <c r="C2536" s="2" t="str">
        <f>"40410"</f>
        <v>40410</v>
      </c>
      <c r="D2536" t="s">
        <v>2625</v>
      </c>
      <c r="E2536" t="s">
        <v>4</v>
      </c>
      <c r="F2536">
        <v>19.399999999999999</v>
      </c>
      <c r="H2536" t="s">
        <v>5</v>
      </c>
      <c r="I2536" s="1">
        <v>58.26</v>
      </c>
      <c r="J2536" s="1">
        <v>57.68</v>
      </c>
      <c r="K2536" t="s">
        <v>6</v>
      </c>
    </row>
    <row r="2537" spans="1:11">
      <c r="A2537" t="s">
        <v>2595</v>
      </c>
      <c r="B2537">
        <v>503731</v>
      </c>
      <c r="C2537" s="2" t="str">
        <f>"40413"</f>
        <v>40413</v>
      </c>
      <c r="D2537" t="s">
        <v>2626</v>
      </c>
      <c r="E2537" t="s">
        <v>4</v>
      </c>
      <c r="F2537">
        <v>16.28</v>
      </c>
      <c r="H2537" t="s">
        <v>5</v>
      </c>
      <c r="I2537" s="1">
        <v>58.26</v>
      </c>
      <c r="J2537" s="1">
        <v>57.68</v>
      </c>
      <c r="K2537" t="s">
        <v>6</v>
      </c>
    </row>
    <row r="2538" spans="1:11">
      <c r="A2538" t="s">
        <v>2595</v>
      </c>
      <c r="B2538">
        <v>503737</v>
      </c>
      <c r="C2538" s="2" t="str">
        <f>"51600"</f>
        <v>51600</v>
      </c>
      <c r="D2538" t="s">
        <v>2627</v>
      </c>
      <c r="E2538" t="s">
        <v>4</v>
      </c>
      <c r="F2538">
        <v>15.2</v>
      </c>
      <c r="H2538" t="s">
        <v>5</v>
      </c>
      <c r="I2538" s="1">
        <v>46.95</v>
      </c>
      <c r="J2538" s="1">
        <v>46.49</v>
      </c>
      <c r="K2538" t="s">
        <v>6</v>
      </c>
    </row>
    <row r="2539" spans="1:11">
      <c r="A2539" t="s">
        <v>2595</v>
      </c>
      <c r="B2539">
        <v>503738</v>
      </c>
      <c r="C2539" s="2" t="str">
        <f>"51601"</f>
        <v>51601</v>
      </c>
      <c r="D2539" t="s">
        <v>2628</v>
      </c>
      <c r="E2539" t="s">
        <v>4</v>
      </c>
      <c r="F2539">
        <v>15.4</v>
      </c>
      <c r="H2539" t="s">
        <v>5</v>
      </c>
      <c r="I2539" s="1">
        <v>44.9</v>
      </c>
      <c r="J2539" s="1">
        <v>44.46</v>
      </c>
      <c r="K2539" t="s">
        <v>6</v>
      </c>
    </row>
    <row r="2540" spans="1:11">
      <c r="A2540" t="s">
        <v>2595</v>
      </c>
      <c r="B2540">
        <v>503739</v>
      </c>
      <c r="C2540" s="2" t="str">
        <f>"51602"</f>
        <v>51602</v>
      </c>
      <c r="D2540" t="s">
        <v>2629</v>
      </c>
      <c r="E2540" t="s">
        <v>4</v>
      </c>
      <c r="F2540">
        <v>11.6</v>
      </c>
      <c r="H2540" t="s">
        <v>5</v>
      </c>
      <c r="I2540" s="1">
        <v>44.9</v>
      </c>
      <c r="J2540" s="1">
        <v>44.46</v>
      </c>
      <c r="K2540" t="s">
        <v>6</v>
      </c>
    </row>
    <row r="2541" spans="1:11">
      <c r="A2541" t="s">
        <v>2595</v>
      </c>
      <c r="B2541">
        <v>503740</v>
      </c>
      <c r="C2541" s="2" t="str">
        <f>"51603"</f>
        <v>51603</v>
      </c>
      <c r="D2541" t="s">
        <v>2630</v>
      </c>
      <c r="E2541" t="s">
        <v>4</v>
      </c>
      <c r="F2541">
        <v>11.6</v>
      </c>
      <c r="H2541" t="s">
        <v>5</v>
      </c>
      <c r="I2541" s="1">
        <v>43.31</v>
      </c>
      <c r="J2541" s="1">
        <v>42.88</v>
      </c>
      <c r="K2541" t="s">
        <v>6</v>
      </c>
    </row>
    <row r="2542" spans="1:11">
      <c r="A2542" t="s">
        <v>2595</v>
      </c>
      <c r="B2542">
        <v>503741</v>
      </c>
      <c r="C2542" s="2" t="str">
        <f>"52700"</f>
        <v>52700</v>
      </c>
      <c r="D2542" t="s">
        <v>2631</v>
      </c>
      <c r="E2542" t="s">
        <v>4</v>
      </c>
      <c r="F2542">
        <v>14.8</v>
      </c>
      <c r="H2542" t="s">
        <v>5</v>
      </c>
      <c r="I2542" s="1">
        <v>48.35</v>
      </c>
      <c r="J2542" s="1">
        <v>47.87</v>
      </c>
      <c r="K2542" t="s">
        <v>6</v>
      </c>
    </row>
    <row r="2543" spans="1:11">
      <c r="A2543" t="s">
        <v>2595</v>
      </c>
      <c r="B2543">
        <v>503742</v>
      </c>
      <c r="C2543" s="2" t="str">
        <f>"52701"</f>
        <v>52701</v>
      </c>
      <c r="D2543" t="s">
        <v>2632</v>
      </c>
      <c r="E2543" t="s">
        <v>4</v>
      </c>
      <c r="F2543">
        <v>14.6</v>
      </c>
      <c r="H2543" t="s">
        <v>5</v>
      </c>
      <c r="I2543" s="1">
        <v>46.5</v>
      </c>
      <c r="J2543" s="1">
        <v>46.04</v>
      </c>
      <c r="K2543" t="s">
        <v>6</v>
      </c>
    </row>
    <row r="2544" spans="1:11">
      <c r="A2544" t="s">
        <v>2595</v>
      </c>
      <c r="B2544">
        <v>503744</v>
      </c>
      <c r="C2544" s="2" t="str">
        <f>"52702"</f>
        <v>52702</v>
      </c>
      <c r="D2544" t="s">
        <v>2633</v>
      </c>
      <c r="E2544" t="s">
        <v>4</v>
      </c>
      <c r="F2544">
        <v>11.4</v>
      </c>
      <c r="H2544" t="s">
        <v>5</v>
      </c>
      <c r="I2544" s="1">
        <v>40.67</v>
      </c>
      <c r="J2544" s="1">
        <v>40.270000000000003</v>
      </c>
      <c r="K2544" t="s">
        <v>6</v>
      </c>
    </row>
    <row r="2545" spans="1:11">
      <c r="A2545" t="s">
        <v>2595</v>
      </c>
      <c r="B2545">
        <v>503745</v>
      </c>
      <c r="C2545" s="2" t="str">
        <f>"52703"</f>
        <v>52703</v>
      </c>
      <c r="D2545" t="s">
        <v>2634</v>
      </c>
      <c r="E2545" t="s">
        <v>4</v>
      </c>
      <c r="F2545">
        <v>11.4</v>
      </c>
      <c r="H2545" t="s">
        <v>5</v>
      </c>
      <c r="I2545" s="1">
        <v>43.63</v>
      </c>
      <c r="J2545" s="1">
        <v>43.2</v>
      </c>
      <c r="K2545" t="s">
        <v>6</v>
      </c>
    </row>
    <row r="2546" spans="1:11">
      <c r="A2546" t="s">
        <v>2595</v>
      </c>
      <c r="B2546">
        <v>503748</v>
      </c>
      <c r="C2546" s="2" t="str">
        <f>"64020"</f>
        <v>64020</v>
      </c>
      <c r="D2546" t="s">
        <v>2635</v>
      </c>
      <c r="E2546" t="s">
        <v>4</v>
      </c>
      <c r="F2546">
        <v>8.4</v>
      </c>
      <c r="H2546" t="s">
        <v>5</v>
      </c>
      <c r="I2546" s="1">
        <v>47.24</v>
      </c>
      <c r="J2546" s="1">
        <v>46.77</v>
      </c>
      <c r="K2546" t="s">
        <v>6</v>
      </c>
    </row>
    <row r="2547" spans="1:11">
      <c r="A2547" t="s">
        <v>2595</v>
      </c>
      <c r="B2547">
        <v>527774</v>
      </c>
      <c r="C2547" s="2" t="str">
        <f>"75212"</f>
        <v>75212</v>
      </c>
      <c r="D2547" t="s">
        <v>2636</v>
      </c>
      <c r="E2547" t="s">
        <v>4</v>
      </c>
      <c r="F2547">
        <v>16.399999999999999</v>
      </c>
      <c r="H2547" t="s">
        <v>5</v>
      </c>
      <c r="I2547" s="1">
        <v>69.09</v>
      </c>
      <c r="J2547" s="1">
        <v>68.400000000000006</v>
      </c>
      <c r="K2547" t="s">
        <v>6</v>
      </c>
    </row>
    <row r="2548" spans="1:11">
      <c r="A2548" t="s">
        <v>2595</v>
      </c>
      <c r="B2548">
        <v>527778</v>
      </c>
      <c r="C2548" s="2" t="str">
        <f>"75284"</f>
        <v>75284</v>
      </c>
      <c r="D2548" t="s">
        <v>2637</v>
      </c>
      <c r="E2548" t="s">
        <v>4</v>
      </c>
      <c r="F2548">
        <v>8</v>
      </c>
      <c r="H2548" t="s">
        <v>5</v>
      </c>
      <c r="I2548" s="1">
        <v>45.34</v>
      </c>
      <c r="J2548" s="1">
        <v>44.89</v>
      </c>
      <c r="K2548" t="s">
        <v>6</v>
      </c>
    </row>
    <row r="2549" spans="1:11">
      <c r="A2549" t="s">
        <v>2638</v>
      </c>
      <c r="B2549">
        <v>523115</v>
      </c>
      <c r="C2549" s="2" t="str">
        <f>"18280/01"</f>
        <v>18280/01</v>
      </c>
      <c r="D2549" t="s">
        <v>2639</v>
      </c>
      <c r="E2549" t="s">
        <v>4</v>
      </c>
      <c r="F2549">
        <v>33.770000000000003</v>
      </c>
      <c r="H2549" t="s">
        <v>5</v>
      </c>
      <c r="I2549" s="1">
        <v>62.24</v>
      </c>
      <c r="J2549" s="1">
        <v>61.65</v>
      </c>
      <c r="K2549" t="s">
        <v>6</v>
      </c>
    </row>
    <row r="2550" spans="1:11">
      <c r="A2550" t="s">
        <v>2638</v>
      </c>
      <c r="B2550">
        <v>553145</v>
      </c>
      <c r="C2550" s="2" t="str">
        <f>"19027"</f>
        <v>19027</v>
      </c>
      <c r="D2550" t="s">
        <v>2640</v>
      </c>
      <c r="E2550" t="s">
        <v>4</v>
      </c>
      <c r="F2550">
        <v>26.16</v>
      </c>
      <c r="H2550" t="s">
        <v>5</v>
      </c>
      <c r="I2550" s="1">
        <v>74.53</v>
      </c>
      <c r="J2550" s="1">
        <v>73.819999999999993</v>
      </c>
      <c r="K2550" t="s">
        <v>6</v>
      </c>
    </row>
    <row r="2551" spans="1:11">
      <c r="A2551" t="s">
        <v>2638</v>
      </c>
      <c r="B2551">
        <v>523116</v>
      </c>
      <c r="C2551" s="2" t="str">
        <f>"19375"</f>
        <v>19375</v>
      </c>
      <c r="D2551" t="s">
        <v>2641</v>
      </c>
      <c r="E2551" t="s">
        <v>4</v>
      </c>
      <c r="F2551">
        <v>27.54</v>
      </c>
      <c r="H2551" t="s">
        <v>5</v>
      </c>
      <c r="I2551" s="1">
        <v>73.099999999999994</v>
      </c>
      <c r="J2551" s="1">
        <v>72.400000000000006</v>
      </c>
      <c r="K2551" t="s">
        <v>6</v>
      </c>
    </row>
    <row r="2552" spans="1:11">
      <c r="A2552" t="s">
        <v>2638</v>
      </c>
      <c r="B2552">
        <v>567620</v>
      </c>
      <c r="C2552" s="2" t="str">
        <f>"21424"</f>
        <v>21424</v>
      </c>
      <c r="D2552" t="s">
        <v>2642</v>
      </c>
      <c r="E2552" t="s">
        <v>4</v>
      </c>
      <c r="F2552">
        <v>11.7</v>
      </c>
      <c r="H2552" t="s">
        <v>5</v>
      </c>
      <c r="I2552" s="1">
        <v>22.73</v>
      </c>
      <c r="J2552" s="1">
        <v>22.52</v>
      </c>
      <c r="K2552" t="s">
        <v>6</v>
      </c>
    </row>
    <row r="2553" spans="1:11">
      <c r="A2553" t="s">
        <v>2638</v>
      </c>
      <c r="B2553">
        <v>567612</v>
      </c>
      <c r="C2553" s="2" t="str">
        <f>"21426"</f>
        <v>21426</v>
      </c>
      <c r="D2553" t="s">
        <v>2643</v>
      </c>
      <c r="E2553" t="s">
        <v>4</v>
      </c>
      <c r="F2553">
        <v>17.3</v>
      </c>
      <c r="H2553" t="s">
        <v>5</v>
      </c>
      <c r="I2553" s="1">
        <v>27.2</v>
      </c>
      <c r="J2553" s="1">
        <v>26.96</v>
      </c>
      <c r="K2553" t="s">
        <v>6</v>
      </c>
    </row>
    <row r="2554" spans="1:11">
      <c r="A2554" t="s">
        <v>2638</v>
      </c>
      <c r="B2554">
        <v>567615</v>
      </c>
      <c r="C2554" s="2" t="str">
        <f>"21431"</f>
        <v>21431</v>
      </c>
      <c r="D2554" t="s">
        <v>2644</v>
      </c>
      <c r="E2554" t="s">
        <v>4</v>
      </c>
      <c r="F2554">
        <v>21.32</v>
      </c>
      <c r="H2554" t="s">
        <v>5</v>
      </c>
      <c r="I2554" s="1">
        <v>26.91</v>
      </c>
      <c r="J2554" s="1">
        <v>26.67</v>
      </c>
      <c r="K2554" t="s">
        <v>6</v>
      </c>
    </row>
    <row r="2555" spans="1:11">
      <c r="A2555" t="s">
        <v>2638</v>
      </c>
      <c r="B2555">
        <v>567610</v>
      </c>
      <c r="C2555" s="2" t="str">
        <f>"21442"</f>
        <v>21442</v>
      </c>
      <c r="D2555" t="s">
        <v>2645</v>
      </c>
      <c r="E2555" t="s">
        <v>4</v>
      </c>
      <c r="F2555">
        <v>19.05</v>
      </c>
      <c r="H2555" t="s">
        <v>5</v>
      </c>
      <c r="I2555" s="1">
        <v>26.84</v>
      </c>
      <c r="J2555" s="1">
        <v>26.6</v>
      </c>
      <c r="K2555" t="s">
        <v>6</v>
      </c>
    </row>
    <row r="2556" spans="1:11">
      <c r="A2556" t="s">
        <v>2638</v>
      </c>
      <c r="B2556">
        <v>567611</v>
      </c>
      <c r="C2556" s="2" t="str">
        <f>"21443"</f>
        <v>21443</v>
      </c>
      <c r="D2556" t="s">
        <v>2646</v>
      </c>
      <c r="E2556" t="s">
        <v>4</v>
      </c>
      <c r="F2556">
        <v>18.8</v>
      </c>
      <c r="H2556" t="s">
        <v>5</v>
      </c>
      <c r="I2556" s="1">
        <v>23.59</v>
      </c>
      <c r="J2556" s="1">
        <v>23.38</v>
      </c>
      <c r="K2556" t="s">
        <v>6</v>
      </c>
    </row>
    <row r="2557" spans="1:11">
      <c r="A2557" t="s">
        <v>2638</v>
      </c>
      <c r="B2557">
        <v>567623</v>
      </c>
      <c r="C2557" s="2" t="str">
        <f>"21444"</f>
        <v>21444</v>
      </c>
      <c r="D2557" t="s">
        <v>2647</v>
      </c>
      <c r="E2557" t="s">
        <v>4</v>
      </c>
      <c r="F2557">
        <v>11.06</v>
      </c>
      <c r="H2557" t="s">
        <v>5</v>
      </c>
      <c r="I2557" s="1">
        <v>17.89</v>
      </c>
      <c r="J2557" s="1">
        <v>17.73</v>
      </c>
      <c r="K2557" t="s">
        <v>6</v>
      </c>
    </row>
    <row r="2558" spans="1:11">
      <c r="A2558" t="s">
        <v>2638</v>
      </c>
      <c r="B2558">
        <v>567618</v>
      </c>
      <c r="C2558" s="2" t="str">
        <f>"21446"</f>
        <v>21446</v>
      </c>
      <c r="D2558" t="s">
        <v>2648</v>
      </c>
      <c r="E2558" t="s">
        <v>4</v>
      </c>
      <c r="F2558">
        <v>18.95</v>
      </c>
      <c r="H2558" t="s">
        <v>5</v>
      </c>
      <c r="I2558" s="1">
        <v>36.799999999999997</v>
      </c>
      <c r="J2558" s="1">
        <v>36.47</v>
      </c>
      <c r="K2558" t="s">
        <v>6</v>
      </c>
    </row>
    <row r="2559" spans="1:11">
      <c r="A2559" t="s">
        <v>2638</v>
      </c>
      <c r="B2559">
        <v>567622</v>
      </c>
      <c r="C2559" s="2" t="str">
        <f>"21454"</f>
        <v>21454</v>
      </c>
      <c r="D2559" t="s">
        <v>2649</v>
      </c>
      <c r="E2559" t="s">
        <v>4</v>
      </c>
      <c r="F2559">
        <v>34.630000000000003</v>
      </c>
      <c r="H2559" t="s">
        <v>5</v>
      </c>
      <c r="I2559" s="1">
        <v>53.75</v>
      </c>
      <c r="J2559" s="1">
        <v>53.27</v>
      </c>
      <c r="K2559" t="s">
        <v>6</v>
      </c>
    </row>
    <row r="2560" spans="1:11">
      <c r="A2560" t="s">
        <v>2638</v>
      </c>
      <c r="B2560">
        <v>567613</v>
      </c>
      <c r="C2560" s="2" t="str">
        <f>"21456"</f>
        <v>21456</v>
      </c>
      <c r="D2560" t="s">
        <v>2650</v>
      </c>
      <c r="E2560" t="s">
        <v>4</v>
      </c>
      <c r="F2560">
        <v>20.54</v>
      </c>
      <c r="H2560" t="s">
        <v>5</v>
      </c>
      <c r="I2560" s="1">
        <v>25.61</v>
      </c>
      <c r="J2560" s="1">
        <v>25.38</v>
      </c>
      <c r="K2560" t="s">
        <v>6</v>
      </c>
    </row>
    <row r="2561" spans="1:12">
      <c r="A2561" t="s">
        <v>2638</v>
      </c>
      <c r="B2561">
        <v>567619</v>
      </c>
      <c r="C2561" s="2" t="str">
        <f>"21458"</f>
        <v>21458</v>
      </c>
      <c r="D2561" t="s">
        <v>2651</v>
      </c>
      <c r="E2561" t="s">
        <v>4</v>
      </c>
      <c r="F2561">
        <v>15.35</v>
      </c>
      <c r="H2561" t="s">
        <v>5</v>
      </c>
      <c r="I2561" s="1">
        <v>26.91</v>
      </c>
      <c r="J2561" s="1">
        <v>26.67</v>
      </c>
      <c r="K2561" t="s">
        <v>6</v>
      </c>
    </row>
    <row r="2562" spans="1:12">
      <c r="A2562" t="s">
        <v>2638</v>
      </c>
      <c r="B2562">
        <v>567616</v>
      </c>
      <c r="C2562" s="2" t="str">
        <f>"21460"</f>
        <v>21460</v>
      </c>
      <c r="D2562" t="s">
        <v>2652</v>
      </c>
      <c r="E2562" t="s">
        <v>4</v>
      </c>
      <c r="F2562">
        <v>24.29</v>
      </c>
      <c r="H2562" t="s">
        <v>5</v>
      </c>
      <c r="I2562" s="1">
        <v>36.94</v>
      </c>
      <c r="J2562" s="1">
        <v>36.61</v>
      </c>
      <c r="K2562" t="s">
        <v>6</v>
      </c>
    </row>
    <row r="2563" spans="1:12">
      <c r="A2563" t="s">
        <v>2638</v>
      </c>
      <c r="B2563">
        <v>567617</v>
      </c>
      <c r="C2563" s="2" t="str">
        <f>"21461"</f>
        <v>21461</v>
      </c>
      <c r="D2563" t="s">
        <v>2653</v>
      </c>
      <c r="E2563" t="s">
        <v>4</v>
      </c>
      <c r="F2563">
        <v>24.29</v>
      </c>
      <c r="H2563" t="s">
        <v>5</v>
      </c>
      <c r="I2563" s="1">
        <v>27.2</v>
      </c>
      <c r="J2563" s="1">
        <v>26.96</v>
      </c>
      <c r="K2563" t="s">
        <v>6</v>
      </c>
    </row>
    <row r="2564" spans="1:12">
      <c r="A2564" t="s">
        <v>2638</v>
      </c>
      <c r="B2564">
        <v>567624</v>
      </c>
      <c r="C2564" s="2" t="str">
        <f>"21480"</f>
        <v>21480</v>
      </c>
      <c r="D2564" t="s">
        <v>2654</v>
      </c>
      <c r="E2564" t="s">
        <v>4</v>
      </c>
      <c r="F2564">
        <v>30.98</v>
      </c>
      <c r="H2564" t="s">
        <v>5</v>
      </c>
      <c r="I2564" s="1">
        <v>49.06</v>
      </c>
      <c r="J2564" s="1">
        <v>48.62</v>
      </c>
      <c r="K2564" t="s">
        <v>6</v>
      </c>
    </row>
    <row r="2565" spans="1:12">
      <c r="A2565" t="s">
        <v>2638</v>
      </c>
      <c r="B2565">
        <v>567625</v>
      </c>
      <c r="C2565" s="2" t="str">
        <f>"21481"</f>
        <v>21481</v>
      </c>
      <c r="D2565" t="s">
        <v>2655</v>
      </c>
      <c r="E2565" t="s">
        <v>4</v>
      </c>
      <c r="F2565">
        <v>34.07</v>
      </c>
      <c r="H2565" t="s">
        <v>5</v>
      </c>
      <c r="I2565" s="1">
        <v>44.73</v>
      </c>
      <c r="J2565" s="1">
        <v>44.33</v>
      </c>
      <c r="K2565" t="s">
        <v>6</v>
      </c>
    </row>
    <row r="2566" spans="1:12">
      <c r="A2566" t="s">
        <v>2638</v>
      </c>
      <c r="B2566">
        <v>567614</v>
      </c>
      <c r="C2566" s="2" t="str">
        <f>"21484"</f>
        <v>21484</v>
      </c>
      <c r="D2566" t="s">
        <v>2656</v>
      </c>
      <c r="E2566" t="s">
        <v>4</v>
      </c>
      <c r="F2566">
        <v>17.739999999999998</v>
      </c>
      <c r="H2566" t="s">
        <v>5</v>
      </c>
      <c r="I2566" s="1">
        <v>28.5</v>
      </c>
      <c r="J2566" s="1">
        <v>28.24</v>
      </c>
      <c r="K2566" t="s">
        <v>6</v>
      </c>
    </row>
    <row r="2567" spans="1:12">
      <c r="A2567" t="s">
        <v>2638</v>
      </c>
      <c r="B2567">
        <v>567621</v>
      </c>
      <c r="C2567" s="2" t="str">
        <f>"21491"</f>
        <v>21491</v>
      </c>
      <c r="D2567" t="s">
        <v>2657</v>
      </c>
      <c r="E2567" t="s">
        <v>4</v>
      </c>
      <c r="F2567">
        <v>30.2</v>
      </c>
      <c r="H2567" t="s">
        <v>5</v>
      </c>
      <c r="I2567" s="1">
        <v>50.94</v>
      </c>
      <c r="J2567" s="1">
        <v>50.48</v>
      </c>
      <c r="K2567" t="s">
        <v>6</v>
      </c>
    </row>
    <row r="2568" spans="1:12">
      <c r="A2568" t="s">
        <v>2638</v>
      </c>
      <c r="B2568">
        <v>522987</v>
      </c>
      <c r="C2568" s="2" t="str">
        <f>"29408"</f>
        <v>29408</v>
      </c>
      <c r="D2568" t="s">
        <v>2658</v>
      </c>
      <c r="E2568" t="s">
        <v>4</v>
      </c>
      <c r="F2568">
        <v>5.68</v>
      </c>
      <c r="H2568" t="s">
        <v>5</v>
      </c>
      <c r="I2568" s="1">
        <v>62.93</v>
      </c>
      <c r="J2568" s="1">
        <v>62.33</v>
      </c>
      <c r="K2568" t="s">
        <v>6</v>
      </c>
    </row>
    <row r="2569" spans="1:12">
      <c r="A2569" t="s">
        <v>2638</v>
      </c>
      <c r="B2569">
        <v>523130</v>
      </c>
      <c r="C2569" s="2" t="str">
        <f>"29416"</f>
        <v>29416</v>
      </c>
      <c r="D2569" t="s">
        <v>2659</v>
      </c>
      <c r="E2569" t="s">
        <v>4</v>
      </c>
      <c r="F2569">
        <v>5.01</v>
      </c>
      <c r="H2569" t="s">
        <v>5</v>
      </c>
      <c r="I2569" s="1">
        <v>49.96</v>
      </c>
      <c r="J2569" s="1">
        <v>49.48</v>
      </c>
      <c r="K2569" t="s">
        <v>6</v>
      </c>
    </row>
    <row r="2570" spans="1:12">
      <c r="A2570" t="s">
        <v>2638</v>
      </c>
      <c r="B2570">
        <v>522988</v>
      </c>
      <c r="C2570" s="2" t="str">
        <f>"29423"</f>
        <v>29423</v>
      </c>
      <c r="D2570" t="s">
        <v>2660</v>
      </c>
      <c r="E2570" t="s">
        <v>4</v>
      </c>
      <c r="F2570">
        <v>5.7</v>
      </c>
      <c r="H2570" t="s">
        <v>5</v>
      </c>
      <c r="I2570" s="1">
        <v>49.96</v>
      </c>
      <c r="J2570" s="1">
        <v>49.48</v>
      </c>
      <c r="K2570" t="s">
        <v>6</v>
      </c>
    </row>
    <row r="2571" spans="1:12">
      <c r="A2571" t="s">
        <v>2638</v>
      </c>
      <c r="B2571">
        <v>523134</v>
      </c>
      <c r="C2571" s="2" t="str">
        <f>"32002"</f>
        <v>32002</v>
      </c>
      <c r="D2571" t="s">
        <v>2661</v>
      </c>
      <c r="E2571" t="s">
        <v>4</v>
      </c>
      <c r="F2571">
        <v>19.399999999999999</v>
      </c>
      <c r="H2571" t="s">
        <v>5</v>
      </c>
      <c r="I2571" s="1">
        <v>66.34</v>
      </c>
      <c r="J2571" s="1">
        <v>65.709999999999994</v>
      </c>
      <c r="K2571" t="s">
        <v>6</v>
      </c>
    </row>
    <row r="2572" spans="1:12">
      <c r="A2572" t="s">
        <v>2638</v>
      </c>
      <c r="B2572">
        <v>522992</v>
      </c>
      <c r="C2572" s="2" t="str">
        <f>"32015"</f>
        <v>32015</v>
      </c>
      <c r="D2572" t="s">
        <v>2662</v>
      </c>
      <c r="E2572" t="s">
        <v>4</v>
      </c>
      <c r="F2572">
        <v>19.399999999999999</v>
      </c>
      <c r="H2572" t="s">
        <v>5</v>
      </c>
      <c r="I2572" s="1">
        <v>63.13</v>
      </c>
      <c r="J2572" s="1">
        <v>62.53</v>
      </c>
      <c r="K2572" t="s">
        <v>6</v>
      </c>
    </row>
    <row r="2573" spans="1:12">
      <c r="A2573" t="s">
        <v>2638</v>
      </c>
      <c r="B2573">
        <v>523135</v>
      </c>
      <c r="C2573" s="2" t="str">
        <f>"33201"</f>
        <v>33201</v>
      </c>
      <c r="D2573" t="s">
        <v>2663</v>
      </c>
      <c r="E2573" t="s">
        <v>4</v>
      </c>
      <c r="F2573">
        <v>29.5</v>
      </c>
      <c r="H2573" t="s">
        <v>5</v>
      </c>
      <c r="I2573" s="1">
        <v>55.35</v>
      </c>
      <c r="J2573" s="1">
        <v>54.82</v>
      </c>
      <c r="K2573" t="s">
        <v>6</v>
      </c>
    </row>
    <row r="2574" spans="1:12">
      <c r="A2574" t="s">
        <v>2638</v>
      </c>
      <c r="B2574">
        <v>523893</v>
      </c>
      <c r="C2574" s="2" t="str">
        <f>"50040"</f>
        <v>50040</v>
      </c>
      <c r="D2574" t="s">
        <v>2664</v>
      </c>
      <c r="E2574" t="s">
        <v>4</v>
      </c>
      <c r="F2574">
        <v>5</v>
      </c>
      <c r="G2574">
        <v>0.05</v>
      </c>
      <c r="H2574" t="s">
        <v>2665</v>
      </c>
      <c r="I2574" s="1">
        <v>3.07</v>
      </c>
      <c r="J2574" s="1">
        <v>3.04</v>
      </c>
      <c r="K2574" t="s">
        <v>21</v>
      </c>
      <c r="L2574" s="1">
        <v>3.35</v>
      </c>
    </row>
    <row r="2575" spans="1:12">
      <c r="A2575" t="s">
        <v>2638</v>
      </c>
      <c r="B2575">
        <v>523029</v>
      </c>
      <c r="C2575" s="2" t="str">
        <f>"96019"</f>
        <v>96019</v>
      </c>
      <c r="D2575" t="s">
        <v>2666</v>
      </c>
      <c r="E2575" t="s">
        <v>4</v>
      </c>
      <c r="F2575">
        <v>11.06</v>
      </c>
      <c r="H2575" t="s">
        <v>5</v>
      </c>
      <c r="I2575" s="1">
        <v>22.52</v>
      </c>
      <c r="J2575" s="1">
        <v>22.31</v>
      </c>
      <c r="K2575" t="s">
        <v>6</v>
      </c>
    </row>
    <row r="2576" spans="1:12">
      <c r="A2576" t="s">
        <v>2667</v>
      </c>
      <c r="B2576">
        <v>415131</v>
      </c>
      <c r="C2576" s="2" t="str">
        <f>"1807-04"</f>
        <v>1807-04</v>
      </c>
      <c r="D2576" t="s">
        <v>2668</v>
      </c>
      <c r="E2576" t="s">
        <v>4</v>
      </c>
      <c r="F2576">
        <v>36</v>
      </c>
      <c r="H2576" t="s">
        <v>5</v>
      </c>
      <c r="I2576" s="1">
        <v>32.159999999999997</v>
      </c>
      <c r="J2576" s="1">
        <v>31.54</v>
      </c>
      <c r="K2576" t="s">
        <v>6</v>
      </c>
    </row>
    <row r="2577" spans="1:12">
      <c r="A2577" t="s">
        <v>2667</v>
      </c>
      <c r="B2577">
        <v>431923</v>
      </c>
      <c r="C2577" s="2" t="str">
        <f>"2117-04"</f>
        <v>2117-04</v>
      </c>
      <c r="D2577" t="s">
        <v>2669</v>
      </c>
      <c r="E2577" t="s">
        <v>4</v>
      </c>
      <c r="F2577">
        <v>10</v>
      </c>
      <c r="H2577" t="s">
        <v>5</v>
      </c>
      <c r="I2577" s="1">
        <v>27.77</v>
      </c>
      <c r="J2577" s="1">
        <v>27.24</v>
      </c>
      <c r="K2577" t="s">
        <v>6</v>
      </c>
    </row>
    <row r="2578" spans="1:12">
      <c r="A2578" t="s">
        <v>2667</v>
      </c>
      <c r="B2578">
        <v>413669</v>
      </c>
      <c r="C2578" s="2" t="str">
        <f>"2156-04"</f>
        <v>2156-04</v>
      </c>
      <c r="D2578" t="s">
        <v>2670</v>
      </c>
      <c r="E2578" t="s">
        <v>4</v>
      </c>
      <c r="F2578">
        <v>10</v>
      </c>
      <c r="H2578" t="s">
        <v>5</v>
      </c>
      <c r="I2578" s="1">
        <v>41.17</v>
      </c>
      <c r="J2578" s="1">
        <v>40.369999999999997</v>
      </c>
      <c r="K2578" t="s">
        <v>6</v>
      </c>
    </row>
    <row r="2579" spans="1:12">
      <c r="A2579" t="s">
        <v>2667</v>
      </c>
      <c r="B2579">
        <v>413310</v>
      </c>
      <c r="C2579" s="2" t="str">
        <f>"2157-04"</f>
        <v>2157-04</v>
      </c>
      <c r="D2579" t="s">
        <v>2671</v>
      </c>
      <c r="E2579" t="s">
        <v>4</v>
      </c>
      <c r="F2579">
        <v>10</v>
      </c>
      <c r="H2579" t="s">
        <v>5</v>
      </c>
      <c r="I2579" s="1">
        <v>30.64</v>
      </c>
      <c r="J2579" s="1">
        <v>30.04</v>
      </c>
      <c r="K2579" t="s">
        <v>6</v>
      </c>
    </row>
    <row r="2580" spans="1:12">
      <c r="A2580" t="s">
        <v>2667</v>
      </c>
      <c r="B2580">
        <v>517154</v>
      </c>
      <c r="C2580" s="2" t="str">
        <f>"3659-12"</f>
        <v>3659-12</v>
      </c>
      <c r="D2580" t="s">
        <v>2672</v>
      </c>
      <c r="E2580" t="s">
        <v>4</v>
      </c>
      <c r="F2580">
        <v>11</v>
      </c>
      <c r="H2580" t="s">
        <v>5</v>
      </c>
      <c r="I2580" s="1">
        <v>62.3</v>
      </c>
      <c r="J2580" s="1">
        <v>61.09</v>
      </c>
      <c r="K2580" t="s">
        <v>6</v>
      </c>
    </row>
    <row r="2581" spans="1:12">
      <c r="A2581" t="s">
        <v>2667</v>
      </c>
      <c r="B2581">
        <v>428404</v>
      </c>
      <c r="C2581" s="2" t="str">
        <f>"5161-03"</f>
        <v>5161-03</v>
      </c>
      <c r="D2581" t="s">
        <v>2673</v>
      </c>
      <c r="E2581" t="s">
        <v>4</v>
      </c>
      <c r="F2581">
        <v>9.5</v>
      </c>
      <c r="H2581" t="s">
        <v>5</v>
      </c>
      <c r="I2581" s="1">
        <v>43.94</v>
      </c>
      <c r="J2581" s="1">
        <v>43.08</v>
      </c>
      <c r="K2581" t="s">
        <v>6</v>
      </c>
    </row>
    <row r="2582" spans="1:12">
      <c r="A2582" t="s">
        <v>2667</v>
      </c>
      <c r="B2582">
        <v>428405</v>
      </c>
      <c r="C2582" s="2" t="str">
        <f>"5162-03"</f>
        <v>5162-03</v>
      </c>
      <c r="D2582" t="s">
        <v>2674</v>
      </c>
      <c r="E2582" t="s">
        <v>4</v>
      </c>
      <c r="F2582">
        <v>9.5</v>
      </c>
      <c r="H2582" t="s">
        <v>5</v>
      </c>
      <c r="I2582" s="1">
        <v>48.36</v>
      </c>
      <c r="J2582" s="1">
        <v>47.41</v>
      </c>
      <c r="K2582" t="s">
        <v>6</v>
      </c>
    </row>
    <row r="2583" spans="1:12">
      <c r="A2583" t="s">
        <v>2667</v>
      </c>
      <c r="B2583">
        <v>463591</v>
      </c>
      <c r="C2583" s="2" t="str">
        <f>"5361-02"</f>
        <v>5361-02</v>
      </c>
      <c r="D2583" t="s">
        <v>2675</v>
      </c>
      <c r="E2583" t="s">
        <v>4</v>
      </c>
      <c r="F2583">
        <v>6</v>
      </c>
      <c r="H2583" t="s">
        <v>5</v>
      </c>
      <c r="I2583" s="1">
        <v>43.29</v>
      </c>
      <c r="J2583" s="1">
        <v>42.45</v>
      </c>
      <c r="K2583" t="s">
        <v>6</v>
      </c>
    </row>
    <row r="2584" spans="1:12">
      <c r="A2584" t="s">
        <v>2667</v>
      </c>
      <c r="B2584">
        <v>463593</v>
      </c>
      <c r="C2584" s="2" t="str">
        <f>"5362-02"</f>
        <v>5362-02</v>
      </c>
      <c r="D2584" t="s">
        <v>2676</v>
      </c>
      <c r="E2584" t="s">
        <v>4</v>
      </c>
      <c r="F2584">
        <v>6</v>
      </c>
      <c r="H2584" t="s">
        <v>5</v>
      </c>
      <c r="I2584" s="1">
        <v>47.62</v>
      </c>
      <c r="J2584" s="1">
        <v>46.68</v>
      </c>
      <c r="K2584" t="s">
        <v>6</v>
      </c>
    </row>
    <row r="2585" spans="1:12">
      <c r="A2585" t="s">
        <v>2667</v>
      </c>
      <c r="B2585">
        <v>463610</v>
      </c>
      <c r="C2585" s="2" t="str">
        <f>"5392-02"</f>
        <v>5392-02</v>
      </c>
      <c r="D2585" t="s">
        <v>2677</v>
      </c>
      <c r="E2585" t="s">
        <v>4</v>
      </c>
      <c r="F2585">
        <v>6</v>
      </c>
      <c r="H2585" t="s">
        <v>5</v>
      </c>
      <c r="I2585" s="1">
        <v>65.23</v>
      </c>
      <c r="J2585" s="1">
        <v>63.97</v>
      </c>
      <c r="K2585" t="s">
        <v>6</v>
      </c>
    </row>
    <row r="2586" spans="1:12">
      <c r="A2586" t="s">
        <v>2667</v>
      </c>
      <c r="B2586">
        <v>550371</v>
      </c>
      <c r="C2586" s="2" t="str">
        <f>"9025-12"</f>
        <v>9025-12</v>
      </c>
      <c r="D2586" t="s">
        <v>2678</v>
      </c>
      <c r="E2586" t="s">
        <v>4</v>
      </c>
      <c r="F2586">
        <v>7.75</v>
      </c>
      <c r="H2586" t="s">
        <v>5</v>
      </c>
      <c r="I2586" s="1">
        <v>51.79</v>
      </c>
      <c r="J2586" s="1">
        <v>50.79</v>
      </c>
      <c r="K2586" t="s">
        <v>6</v>
      </c>
    </row>
    <row r="2587" spans="1:12">
      <c r="A2587" t="s">
        <v>2667</v>
      </c>
      <c r="B2587">
        <v>381586</v>
      </c>
      <c r="C2587" s="2" t="str">
        <f>"9033-12"</f>
        <v>9033-12</v>
      </c>
      <c r="D2587" t="s">
        <v>2679</v>
      </c>
      <c r="E2587" t="s">
        <v>4</v>
      </c>
      <c r="F2587">
        <v>228</v>
      </c>
      <c r="G2587">
        <v>19</v>
      </c>
      <c r="H2587" t="s">
        <v>106</v>
      </c>
      <c r="I2587" s="1">
        <v>6.83</v>
      </c>
      <c r="J2587" s="1">
        <v>6.83</v>
      </c>
      <c r="K2587" t="s">
        <v>1471</v>
      </c>
      <c r="L2587" s="1">
        <v>7.51</v>
      </c>
    </row>
    <row r="2588" spans="1:12">
      <c r="A2588" t="s">
        <v>2667</v>
      </c>
      <c r="B2588">
        <v>381587</v>
      </c>
      <c r="C2588" s="2" t="str">
        <f>"9034-12"</f>
        <v>9034-12</v>
      </c>
      <c r="D2588" t="s">
        <v>2680</v>
      </c>
      <c r="E2588" t="s">
        <v>4</v>
      </c>
      <c r="F2588">
        <v>18.96</v>
      </c>
      <c r="G2588">
        <v>1.58</v>
      </c>
      <c r="H2588" t="s">
        <v>106</v>
      </c>
      <c r="I2588" s="1">
        <v>6.83</v>
      </c>
      <c r="J2588" s="1">
        <v>6.83</v>
      </c>
      <c r="K2588" t="s">
        <v>457</v>
      </c>
      <c r="L2588" s="1">
        <v>7.51</v>
      </c>
    </row>
    <row r="2589" spans="1:12">
      <c r="A2589" t="s">
        <v>2667</v>
      </c>
      <c r="B2589">
        <v>415134</v>
      </c>
      <c r="C2589" s="2" t="str">
        <f>"9102-12"</f>
        <v>9102-12</v>
      </c>
      <c r="D2589" t="s">
        <v>2681</v>
      </c>
      <c r="E2589" t="s">
        <v>4</v>
      </c>
      <c r="F2589">
        <v>24</v>
      </c>
      <c r="H2589" t="s">
        <v>5</v>
      </c>
      <c r="I2589" s="1">
        <v>86.52</v>
      </c>
      <c r="J2589" s="1">
        <v>84.84</v>
      </c>
      <c r="K2589" t="s">
        <v>6</v>
      </c>
    </row>
    <row r="2590" spans="1:12">
      <c r="A2590" t="s">
        <v>2667</v>
      </c>
      <c r="B2590">
        <v>381520</v>
      </c>
      <c r="C2590" s="2" t="str">
        <f>"9112-12"</f>
        <v>9112-12</v>
      </c>
      <c r="D2590" t="s">
        <v>2682</v>
      </c>
      <c r="E2590" t="s">
        <v>4</v>
      </c>
      <c r="F2590">
        <v>24</v>
      </c>
      <c r="H2590" t="s">
        <v>5</v>
      </c>
      <c r="I2590" s="1">
        <v>42.41</v>
      </c>
      <c r="J2590" s="1">
        <v>41.59</v>
      </c>
      <c r="K2590" t="s">
        <v>6</v>
      </c>
    </row>
    <row r="2591" spans="1:12">
      <c r="A2591" t="s">
        <v>2667</v>
      </c>
      <c r="B2591">
        <v>413672</v>
      </c>
      <c r="C2591" s="2" t="str">
        <f>"9127-12"</f>
        <v>9127-12</v>
      </c>
      <c r="D2591" t="s">
        <v>2683</v>
      </c>
      <c r="E2591" t="s">
        <v>4</v>
      </c>
      <c r="F2591">
        <v>24</v>
      </c>
      <c r="H2591" t="s">
        <v>5</v>
      </c>
      <c r="I2591" s="1">
        <v>53.05</v>
      </c>
      <c r="J2591" s="1">
        <v>52.03</v>
      </c>
      <c r="K2591" t="s">
        <v>6</v>
      </c>
    </row>
    <row r="2592" spans="1:12">
      <c r="A2592" t="s">
        <v>2667</v>
      </c>
      <c r="B2592">
        <v>413673</v>
      </c>
      <c r="C2592" s="2" t="str">
        <f>"9128-12"</f>
        <v>9128-12</v>
      </c>
      <c r="D2592" t="s">
        <v>2684</v>
      </c>
      <c r="E2592" t="s">
        <v>4</v>
      </c>
      <c r="F2592">
        <v>24</v>
      </c>
      <c r="H2592" t="s">
        <v>5</v>
      </c>
      <c r="I2592" s="1">
        <v>32.06</v>
      </c>
      <c r="J2592" s="1">
        <v>31.43</v>
      </c>
      <c r="K2592" t="s">
        <v>6</v>
      </c>
    </row>
    <row r="2593" spans="1:12">
      <c r="A2593" t="s">
        <v>2667</v>
      </c>
      <c r="B2593">
        <v>415414</v>
      </c>
      <c r="C2593" s="2" t="str">
        <f>"9212-12"</f>
        <v>9212-12</v>
      </c>
      <c r="D2593" t="s">
        <v>2685</v>
      </c>
      <c r="E2593" t="s">
        <v>4</v>
      </c>
      <c r="F2593">
        <v>24</v>
      </c>
      <c r="H2593" t="s">
        <v>5</v>
      </c>
      <c r="I2593" s="1">
        <v>84.9</v>
      </c>
      <c r="J2593" s="1">
        <v>83.25</v>
      </c>
      <c r="K2593" t="s">
        <v>6</v>
      </c>
    </row>
    <row r="2594" spans="1:12">
      <c r="A2594" t="s">
        <v>2667</v>
      </c>
      <c r="B2594">
        <v>381588</v>
      </c>
      <c r="C2594" s="2" t="str">
        <f>"9621-12"</f>
        <v>9621-12</v>
      </c>
      <c r="D2594" t="s">
        <v>2686</v>
      </c>
      <c r="E2594" t="s">
        <v>4</v>
      </c>
      <c r="F2594">
        <v>18.96</v>
      </c>
      <c r="G2594">
        <v>1.58</v>
      </c>
      <c r="H2594" t="s">
        <v>106</v>
      </c>
      <c r="I2594" s="1">
        <v>6.83</v>
      </c>
      <c r="J2594" s="1">
        <v>6.83</v>
      </c>
      <c r="K2594" t="s">
        <v>457</v>
      </c>
      <c r="L2594" s="1">
        <v>7.51</v>
      </c>
    </row>
    <row r="2595" spans="1:12">
      <c r="A2595" t="s">
        <v>2667</v>
      </c>
      <c r="B2595">
        <v>492903</v>
      </c>
      <c r="C2595" s="2" t="str">
        <f>"9625-04"</f>
        <v>9625-04</v>
      </c>
      <c r="D2595" t="s">
        <v>2687</v>
      </c>
      <c r="E2595" t="s">
        <v>4</v>
      </c>
      <c r="F2595">
        <v>19</v>
      </c>
      <c r="H2595" t="s">
        <v>5</v>
      </c>
      <c r="I2595" s="1">
        <v>92.44</v>
      </c>
      <c r="J2595" s="1">
        <v>90.64</v>
      </c>
      <c r="K2595" t="s">
        <v>6</v>
      </c>
    </row>
    <row r="2596" spans="1:12">
      <c r="A2596" t="s">
        <v>2667</v>
      </c>
      <c r="B2596">
        <v>381523</v>
      </c>
      <c r="C2596" s="2" t="str">
        <f>"9652-12"</f>
        <v>9652-12</v>
      </c>
      <c r="D2596" t="s">
        <v>2688</v>
      </c>
      <c r="E2596" t="s">
        <v>4</v>
      </c>
      <c r="F2596">
        <v>7</v>
      </c>
      <c r="H2596" t="s">
        <v>5</v>
      </c>
      <c r="I2596" s="1">
        <v>47.15</v>
      </c>
      <c r="J2596" s="1">
        <v>46.24</v>
      </c>
      <c r="K2596" t="s">
        <v>6</v>
      </c>
    </row>
    <row r="2597" spans="1:12">
      <c r="A2597" t="s">
        <v>2667</v>
      </c>
      <c r="B2597">
        <v>444037</v>
      </c>
      <c r="C2597" s="2" t="str">
        <f>"9654-12"</f>
        <v>9654-12</v>
      </c>
      <c r="D2597" t="s">
        <v>2689</v>
      </c>
      <c r="E2597" t="s">
        <v>4</v>
      </c>
      <c r="F2597">
        <v>8</v>
      </c>
      <c r="H2597" t="s">
        <v>5</v>
      </c>
      <c r="I2597" s="1">
        <v>59.48</v>
      </c>
      <c r="J2597" s="1">
        <v>58.32</v>
      </c>
      <c r="K2597" t="s">
        <v>6</v>
      </c>
    </row>
    <row r="2598" spans="1:12">
      <c r="A2598" t="s">
        <v>2667</v>
      </c>
      <c r="B2598">
        <v>381522</v>
      </c>
      <c r="C2598" s="2" t="str">
        <f>"9656-06"</f>
        <v>9656-06</v>
      </c>
      <c r="D2598" t="s">
        <v>2690</v>
      </c>
      <c r="E2598" t="s">
        <v>4</v>
      </c>
      <c r="F2598">
        <v>11</v>
      </c>
      <c r="H2598" t="s">
        <v>5</v>
      </c>
      <c r="I2598" s="1">
        <v>57.11</v>
      </c>
      <c r="J2598" s="1">
        <v>56</v>
      </c>
      <c r="K2598" t="s">
        <v>6</v>
      </c>
    </row>
    <row r="2599" spans="1:12">
      <c r="A2599" t="s">
        <v>2667</v>
      </c>
      <c r="B2599">
        <v>415410</v>
      </c>
      <c r="C2599" s="2" t="str">
        <f>"9657-12"</f>
        <v>9657-12</v>
      </c>
      <c r="D2599" t="s">
        <v>2691</v>
      </c>
      <c r="E2599" t="s">
        <v>4</v>
      </c>
      <c r="F2599">
        <v>22</v>
      </c>
      <c r="H2599" t="s">
        <v>5</v>
      </c>
      <c r="I2599" s="1">
        <v>111.85</v>
      </c>
      <c r="J2599" s="1">
        <v>109.68</v>
      </c>
      <c r="K2599" t="s">
        <v>6</v>
      </c>
    </row>
    <row r="2600" spans="1:12">
      <c r="A2600" t="s">
        <v>2667</v>
      </c>
      <c r="B2600">
        <v>381530</v>
      </c>
      <c r="C2600" s="2" t="str">
        <f>"9755-04"</f>
        <v>9755-04</v>
      </c>
      <c r="D2600" t="s">
        <v>2692</v>
      </c>
      <c r="E2600" t="s">
        <v>4</v>
      </c>
      <c r="F2600">
        <v>36</v>
      </c>
      <c r="H2600" t="s">
        <v>5</v>
      </c>
      <c r="I2600" s="1">
        <v>50.39</v>
      </c>
      <c r="J2600" s="1">
        <v>49.41</v>
      </c>
      <c r="K2600" t="s">
        <v>6</v>
      </c>
    </row>
    <row r="2601" spans="1:12">
      <c r="A2601" t="s">
        <v>2667</v>
      </c>
      <c r="B2601">
        <v>381526</v>
      </c>
      <c r="C2601" s="2" t="str">
        <f>"9756-06"</f>
        <v>9756-06</v>
      </c>
      <c r="D2601" t="s">
        <v>2693</v>
      </c>
      <c r="E2601" t="s">
        <v>4</v>
      </c>
      <c r="F2601">
        <v>12</v>
      </c>
      <c r="H2601" t="s">
        <v>5</v>
      </c>
      <c r="I2601" s="1">
        <v>44.29</v>
      </c>
      <c r="J2601" s="1">
        <v>43.43</v>
      </c>
      <c r="K2601" t="s">
        <v>6</v>
      </c>
    </row>
    <row r="2602" spans="1:12">
      <c r="A2602" t="s">
        <v>2667</v>
      </c>
      <c r="B2602">
        <v>381527</v>
      </c>
      <c r="C2602" s="2" t="str">
        <f>"9757-12"</f>
        <v>9757-12</v>
      </c>
      <c r="D2602" t="s">
        <v>2694</v>
      </c>
      <c r="E2602" t="s">
        <v>4</v>
      </c>
      <c r="F2602">
        <v>24</v>
      </c>
      <c r="H2602" t="s">
        <v>5</v>
      </c>
      <c r="I2602" s="1">
        <v>86.76</v>
      </c>
      <c r="J2602" s="1">
        <v>85.09</v>
      </c>
      <c r="K2602" t="s">
        <v>6</v>
      </c>
    </row>
    <row r="2603" spans="1:12">
      <c r="A2603" t="s">
        <v>2667</v>
      </c>
      <c r="B2603">
        <v>381529</v>
      </c>
      <c r="C2603" s="2" t="str">
        <f>"9759-12"</f>
        <v>9759-12</v>
      </c>
      <c r="D2603" t="s">
        <v>2695</v>
      </c>
      <c r="E2603" t="s">
        <v>4</v>
      </c>
      <c r="F2603">
        <v>11</v>
      </c>
      <c r="H2603" t="s">
        <v>5</v>
      </c>
      <c r="I2603" s="1">
        <v>49.61</v>
      </c>
      <c r="J2603" s="1">
        <v>48.65</v>
      </c>
      <c r="K2603" t="s">
        <v>6</v>
      </c>
    </row>
    <row r="2604" spans="1:12">
      <c r="A2604" t="s">
        <v>2696</v>
      </c>
      <c r="B2604">
        <v>543909</v>
      </c>
      <c r="C2604" s="2" t="str">
        <f>"3068-20-CMR"</f>
        <v>3068-20-CMR</v>
      </c>
      <c r="D2604" t="s">
        <v>2697</v>
      </c>
      <c r="E2604" t="s">
        <v>4</v>
      </c>
      <c r="F2604">
        <v>3.9</v>
      </c>
      <c r="H2604" t="s">
        <v>5</v>
      </c>
      <c r="I2604" s="1">
        <v>26</v>
      </c>
      <c r="J2604" s="1">
        <v>25.48</v>
      </c>
      <c r="K2604" t="s">
        <v>6</v>
      </c>
    </row>
    <row r="2605" spans="1:12">
      <c r="A2605" t="s">
        <v>2696</v>
      </c>
      <c r="B2605">
        <v>543905</v>
      </c>
      <c r="C2605" s="2" t="str">
        <f>"3900-25-CMR"</f>
        <v>3900-25-CMR</v>
      </c>
      <c r="D2605" t="s">
        <v>2698</v>
      </c>
      <c r="E2605" t="s">
        <v>4</v>
      </c>
      <c r="F2605">
        <v>3.11</v>
      </c>
      <c r="H2605" t="s">
        <v>5</v>
      </c>
      <c r="I2605" s="1">
        <v>28.28</v>
      </c>
      <c r="J2605" s="1">
        <v>27.72</v>
      </c>
      <c r="K2605" t="s">
        <v>6</v>
      </c>
    </row>
    <row r="2606" spans="1:12">
      <c r="A2606" t="s">
        <v>2696</v>
      </c>
      <c r="B2606">
        <v>537801</v>
      </c>
      <c r="C2606" s="2" t="str">
        <f>"9650-24-CMR"</f>
        <v>9650-24-CMR</v>
      </c>
      <c r="D2606" t="s">
        <v>2699</v>
      </c>
      <c r="E2606" t="s">
        <v>4</v>
      </c>
      <c r="F2606">
        <v>4.03</v>
      </c>
      <c r="H2606" t="s">
        <v>5</v>
      </c>
      <c r="I2606" s="1">
        <v>31.2</v>
      </c>
      <c r="J2606" s="1">
        <v>30.58</v>
      </c>
      <c r="K2606" t="s">
        <v>6</v>
      </c>
    </row>
    <row r="2607" spans="1:12">
      <c r="A2607" t="s">
        <v>2696</v>
      </c>
      <c r="B2607">
        <v>537803</v>
      </c>
      <c r="C2607" s="2" t="str">
        <f>"9652-12-CMR"</f>
        <v>9652-12-CMR</v>
      </c>
      <c r="D2607" t="s">
        <v>2700</v>
      </c>
      <c r="E2607" t="s">
        <v>4</v>
      </c>
      <c r="F2607">
        <v>7</v>
      </c>
      <c r="H2607" t="s">
        <v>5</v>
      </c>
      <c r="I2607" s="1">
        <v>34.94</v>
      </c>
      <c r="J2607" s="1">
        <v>34.159999999999997</v>
      </c>
      <c r="K2607" t="s">
        <v>6</v>
      </c>
    </row>
    <row r="2608" spans="1:12">
      <c r="A2608" t="s">
        <v>2696</v>
      </c>
      <c r="B2608">
        <v>550111</v>
      </c>
      <c r="C2608" s="2" t="str">
        <f>"9674-12-CMR"</f>
        <v>9674-12-CMR</v>
      </c>
      <c r="D2608" t="s">
        <v>2701</v>
      </c>
      <c r="E2608" t="s">
        <v>4</v>
      </c>
      <c r="F2608">
        <v>7.25</v>
      </c>
      <c r="H2608" t="s">
        <v>5</v>
      </c>
      <c r="I2608" s="1">
        <v>34.94</v>
      </c>
      <c r="J2608" s="1">
        <v>34.159999999999997</v>
      </c>
      <c r="K2608" t="s">
        <v>6</v>
      </c>
    </row>
    <row r="2609" spans="1:11">
      <c r="A2609" t="s">
        <v>2696</v>
      </c>
      <c r="B2609">
        <v>537802</v>
      </c>
      <c r="C2609" s="2" t="str">
        <f>"9682-24-CMR"</f>
        <v>9682-24-CMR</v>
      </c>
      <c r="D2609" t="s">
        <v>2702</v>
      </c>
      <c r="E2609" t="s">
        <v>4</v>
      </c>
      <c r="F2609">
        <v>4.03</v>
      </c>
      <c r="H2609" t="s">
        <v>5</v>
      </c>
      <c r="I2609" s="1">
        <v>31.2</v>
      </c>
      <c r="J2609" s="1">
        <v>30.58</v>
      </c>
      <c r="K2609" t="s">
        <v>6</v>
      </c>
    </row>
    <row r="2610" spans="1:11">
      <c r="A2610" t="s">
        <v>2703</v>
      </c>
      <c r="B2610">
        <v>400532</v>
      </c>
      <c r="C2610" s="2" t="str">
        <f>"1001"</f>
        <v>1001</v>
      </c>
      <c r="D2610" t="s">
        <v>2704</v>
      </c>
      <c r="E2610" t="s">
        <v>4</v>
      </c>
      <c r="F2610">
        <v>5</v>
      </c>
      <c r="H2610" t="s">
        <v>5</v>
      </c>
      <c r="I2610" s="1">
        <v>29.11</v>
      </c>
      <c r="J2610" s="1">
        <v>28.28</v>
      </c>
      <c r="K2610" t="s">
        <v>6</v>
      </c>
    </row>
    <row r="2611" spans="1:11">
      <c r="A2611" t="s">
        <v>2703</v>
      </c>
      <c r="B2611">
        <v>400533</v>
      </c>
      <c r="C2611" s="2" t="str">
        <f>"1002-1"</f>
        <v>1002-1</v>
      </c>
      <c r="D2611" t="s">
        <v>2705</v>
      </c>
      <c r="E2611" t="s">
        <v>4</v>
      </c>
      <c r="F2611">
        <v>7.5</v>
      </c>
      <c r="H2611" t="s">
        <v>5</v>
      </c>
      <c r="I2611" s="1">
        <v>37.840000000000003</v>
      </c>
      <c r="J2611" s="1">
        <v>36.76</v>
      </c>
      <c r="K2611" t="s">
        <v>6</v>
      </c>
    </row>
    <row r="2612" spans="1:11">
      <c r="A2612" t="s">
        <v>2703</v>
      </c>
      <c r="B2612">
        <v>400534</v>
      </c>
      <c r="C2612" s="2" t="str">
        <f>"10036"</f>
        <v>10036</v>
      </c>
      <c r="D2612" t="s">
        <v>2706</v>
      </c>
      <c r="E2612" t="s">
        <v>4</v>
      </c>
      <c r="F2612">
        <v>6</v>
      </c>
      <c r="H2612" t="s">
        <v>5</v>
      </c>
      <c r="I2612" s="1">
        <v>20.87</v>
      </c>
      <c r="J2612" s="1">
        <v>20.27</v>
      </c>
      <c r="K2612" t="s">
        <v>6</v>
      </c>
    </row>
    <row r="2613" spans="1:11">
      <c r="A2613" t="s">
        <v>2703</v>
      </c>
      <c r="B2613">
        <v>407173</v>
      </c>
      <c r="C2613" s="2" t="str">
        <f>"1004-1"</f>
        <v>1004-1</v>
      </c>
      <c r="D2613" t="s">
        <v>2707</v>
      </c>
      <c r="E2613" t="s">
        <v>4</v>
      </c>
      <c r="F2613">
        <v>6</v>
      </c>
      <c r="H2613" t="s">
        <v>5</v>
      </c>
      <c r="I2613" s="1">
        <v>22.95</v>
      </c>
      <c r="J2613" s="1">
        <v>22.3</v>
      </c>
      <c r="K2613" t="s">
        <v>6</v>
      </c>
    </row>
    <row r="2614" spans="1:11">
      <c r="A2614" t="s">
        <v>2703</v>
      </c>
      <c r="B2614">
        <v>400535</v>
      </c>
      <c r="C2614" s="2" t="str">
        <f>"1005-1"</f>
        <v>1005-1</v>
      </c>
      <c r="D2614" t="s">
        <v>2708</v>
      </c>
      <c r="E2614" t="s">
        <v>4</v>
      </c>
      <c r="F2614">
        <v>5</v>
      </c>
      <c r="H2614" t="s">
        <v>5</v>
      </c>
      <c r="I2614" s="1">
        <v>24.78</v>
      </c>
      <c r="J2614" s="1">
        <v>24.08</v>
      </c>
      <c r="K2614" t="s">
        <v>6</v>
      </c>
    </row>
    <row r="2615" spans="1:11">
      <c r="A2615" t="s">
        <v>2703</v>
      </c>
      <c r="B2615">
        <v>400555</v>
      </c>
      <c r="C2615" s="2" t="str">
        <f>"1013-6"</f>
        <v>1013-6</v>
      </c>
      <c r="D2615" t="s">
        <v>2709</v>
      </c>
      <c r="E2615" t="s">
        <v>4</v>
      </c>
      <c r="F2615">
        <v>3.5</v>
      </c>
      <c r="H2615" t="s">
        <v>5</v>
      </c>
      <c r="I2615" s="1">
        <v>30.38</v>
      </c>
      <c r="J2615" s="1">
        <v>29.52</v>
      </c>
      <c r="K2615" t="s">
        <v>6</v>
      </c>
    </row>
    <row r="2616" spans="1:11">
      <c r="A2616" t="s">
        <v>2703</v>
      </c>
      <c r="B2616">
        <v>400557</v>
      </c>
      <c r="C2616" s="2" t="str">
        <f>"1015"</f>
        <v>1015</v>
      </c>
      <c r="D2616" t="s">
        <v>2710</v>
      </c>
      <c r="E2616" t="s">
        <v>4</v>
      </c>
      <c r="F2616">
        <v>9.5</v>
      </c>
      <c r="H2616" t="s">
        <v>5</v>
      </c>
      <c r="I2616" s="1">
        <v>90.64</v>
      </c>
      <c r="J2616" s="1">
        <v>88.06</v>
      </c>
      <c r="K2616" t="s">
        <v>6</v>
      </c>
    </row>
    <row r="2617" spans="1:11">
      <c r="A2617" t="s">
        <v>2703</v>
      </c>
      <c r="B2617">
        <v>400538</v>
      </c>
      <c r="C2617" s="2" t="str">
        <f>"1016"</f>
        <v>1016</v>
      </c>
      <c r="D2617" t="s">
        <v>2711</v>
      </c>
      <c r="E2617" t="s">
        <v>4</v>
      </c>
      <c r="F2617">
        <v>11</v>
      </c>
      <c r="H2617" t="s">
        <v>5</v>
      </c>
      <c r="I2617" s="1">
        <v>25.45</v>
      </c>
      <c r="J2617" s="1">
        <v>24.73</v>
      </c>
      <c r="K2617" t="s">
        <v>6</v>
      </c>
    </row>
    <row r="2618" spans="1:11">
      <c r="A2618" t="s">
        <v>2703</v>
      </c>
      <c r="B2618">
        <v>400537</v>
      </c>
      <c r="C2618" s="2" t="str">
        <f>"1024"</f>
        <v>1024</v>
      </c>
      <c r="D2618" t="s">
        <v>2712</v>
      </c>
      <c r="E2618" t="s">
        <v>4</v>
      </c>
      <c r="F2618">
        <v>40</v>
      </c>
      <c r="H2618" t="s">
        <v>5</v>
      </c>
      <c r="I2618" s="1">
        <v>90.7</v>
      </c>
      <c r="J2618" s="1">
        <v>88.13</v>
      </c>
      <c r="K2618" t="s">
        <v>6</v>
      </c>
    </row>
    <row r="2619" spans="1:11">
      <c r="A2619" t="s">
        <v>2703</v>
      </c>
      <c r="B2619">
        <v>400546</v>
      </c>
      <c r="C2619" s="2" t="str">
        <f>"1026-1"</f>
        <v>1026-1</v>
      </c>
      <c r="D2619" t="s">
        <v>2713</v>
      </c>
      <c r="E2619" t="s">
        <v>4</v>
      </c>
      <c r="F2619">
        <v>30.5</v>
      </c>
      <c r="H2619" t="s">
        <v>5</v>
      </c>
      <c r="I2619" s="1">
        <v>68.22</v>
      </c>
      <c r="J2619" s="1">
        <v>66.3</v>
      </c>
      <c r="K2619" t="s">
        <v>6</v>
      </c>
    </row>
    <row r="2620" spans="1:11">
      <c r="A2620" t="s">
        <v>2703</v>
      </c>
      <c r="B2620">
        <v>400547</v>
      </c>
      <c r="C2620" s="2" t="str">
        <f>"1028"</f>
        <v>1028</v>
      </c>
      <c r="D2620" t="s">
        <v>2714</v>
      </c>
      <c r="E2620" t="s">
        <v>4</v>
      </c>
      <c r="F2620">
        <v>41</v>
      </c>
      <c r="H2620" t="s">
        <v>5</v>
      </c>
      <c r="I2620" s="1">
        <v>82.13</v>
      </c>
      <c r="J2620" s="1">
        <v>79.81</v>
      </c>
      <c r="K2620" t="s">
        <v>6</v>
      </c>
    </row>
    <row r="2621" spans="1:11">
      <c r="A2621" t="s">
        <v>2703</v>
      </c>
      <c r="B2621">
        <v>400548</v>
      </c>
      <c r="C2621" s="2" t="str">
        <f>"1030-1"</f>
        <v>1030-1</v>
      </c>
      <c r="D2621" t="s">
        <v>2715</v>
      </c>
      <c r="E2621" t="s">
        <v>4</v>
      </c>
      <c r="F2621">
        <v>66</v>
      </c>
      <c r="H2621" t="s">
        <v>5</v>
      </c>
      <c r="I2621" s="1">
        <v>109.07</v>
      </c>
      <c r="J2621" s="1">
        <v>105.98</v>
      </c>
      <c r="K2621" t="s">
        <v>6</v>
      </c>
    </row>
    <row r="2622" spans="1:11">
      <c r="A2622" t="s">
        <v>2703</v>
      </c>
      <c r="B2622">
        <v>400550</v>
      </c>
      <c r="C2622" s="2" t="str">
        <f>"1044-5"</f>
        <v>1044-5</v>
      </c>
      <c r="D2622" t="s">
        <v>2716</v>
      </c>
      <c r="E2622" t="s">
        <v>4</v>
      </c>
      <c r="F2622">
        <v>33</v>
      </c>
      <c r="H2622" t="s">
        <v>5</v>
      </c>
      <c r="I2622" s="1">
        <v>56.3</v>
      </c>
      <c r="J2622" s="1">
        <v>54.72</v>
      </c>
      <c r="K2622" t="s">
        <v>6</v>
      </c>
    </row>
    <row r="2623" spans="1:11">
      <c r="A2623" t="s">
        <v>2703</v>
      </c>
      <c r="B2623">
        <v>505831</v>
      </c>
      <c r="C2623" s="2" t="str">
        <f>"1045-5"</f>
        <v>1045-5</v>
      </c>
      <c r="D2623" t="s">
        <v>2717</v>
      </c>
      <c r="E2623" t="s">
        <v>4</v>
      </c>
      <c r="F2623">
        <v>17</v>
      </c>
      <c r="H2623" t="s">
        <v>5</v>
      </c>
      <c r="I2623" s="1">
        <v>61.98</v>
      </c>
      <c r="J2623" s="1">
        <v>60.23</v>
      </c>
      <c r="K2623" t="s">
        <v>6</v>
      </c>
    </row>
    <row r="2624" spans="1:11">
      <c r="A2624" t="s">
        <v>2703</v>
      </c>
      <c r="B2624">
        <v>400536</v>
      </c>
      <c r="C2624" s="2" t="str">
        <f>"1057-6"</f>
        <v>1057-6</v>
      </c>
      <c r="D2624" t="s">
        <v>2718</v>
      </c>
      <c r="E2624" t="s">
        <v>4</v>
      </c>
      <c r="F2624">
        <v>6.5</v>
      </c>
      <c r="H2624" t="s">
        <v>5</v>
      </c>
      <c r="I2624" s="1">
        <v>21.79</v>
      </c>
      <c r="J2624" s="1">
        <v>21.16</v>
      </c>
      <c r="K2624" t="s">
        <v>6</v>
      </c>
    </row>
    <row r="2625" spans="1:11">
      <c r="A2625" t="s">
        <v>2703</v>
      </c>
      <c r="B2625">
        <v>515336</v>
      </c>
      <c r="C2625" s="2" t="str">
        <f>"1058-5"</f>
        <v>1058-5</v>
      </c>
      <c r="D2625" t="s">
        <v>2719</v>
      </c>
      <c r="E2625" t="s">
        <v>4</v>
      </c>
      <c r="F2625">
        <v>12</v>
      </c>
      <c r="H2625" t="s">
        <v>5</v>
      </c>
      <c r="I2625" s="1">
        <v>46.22</v>
      </c>
      <c r="J2625" s="1">
        <v>44.92</v>
      </c>
      <c r="K2625" t="s">
        <v>6</v>
      </c>
    </row>
    <row r="2626" spans="1:11">
      <c r="A2626" t="s">
        <v>2703</v>
      </c>
      <c r="B2626">
        <v>507482</v>
      </c>
      <c r="C2626" s="2" t="str">
        <f>"1059-5"</f>
        <v>1059-5</v>
      </c>
      <c r="D2626" t="s">
        <v>2720</v>
      </c>
      <c r="E2626" t="s">
        <v>4</v>
      </c>
      <c r="F2626">
        <v>8.64</v>
      </c>
      <c r="H2626" t="s">
        <v>5</v>
      </c>
      <c r="I2626" s="1">
        <v>37.31</v>
      </c>
      <c r="J2626" s="1">
        <v>36.26</v>
      </c>
      <c r="K2626" t="s">
        <v>6</v>
      </c>
    </row>
    <row r="2627" spans="1:11">
      <c r="A2627" t="s">
        <v>2703</v>
      </c>
      <c r="B2627">
        <v>400539</v>
      </c>
      <c r="C2627" s="2" t="str">
        <f>"1081/P"</f>
        <v>1081/P</v>
      </c>
      <c r="D2627" t="s">
        <v>2721</v>
      </c>
      <c r="E2627" t="s">
        <v>4</v>
      </c>
      <c r="F2627">
        <v>6</v>
      </c>
      <c r="H2627" t="s">
        <v>5</v>
      </c>
      <c r="I2627" s="1">
        <v>22.39</v>
      </c>
      <c r="J2627" s="1">
        <v>21.76</v>
      </c>
      <c r="K2627" t="s">
        <v>6</v>
      </c>
    </row>
    <row r="2628" spans="1:11">
      <c r="A2628" t="s">
        <v>2703</v>
      </c>
      <c r="B2628">
        <v>406557</v>
      </c>
      <c r="C2628" s="2" t="str">
        <f>"1082"</f>
        <v>1082</v>
      </c>
      <c r="D2628" t="s">
        <v>2722</v>
      </c>
      <c r="E2628" t="s">
        <v>4</v>
      </c>
      <c r="F2628">
        <v>10</v>
      </c>
      <c r="H2628" t="s">
        <v>5</v>
      </c>
      <c r="I2628" s="1">
        <v>42.68</v>
      </c>
      <c r="J2628" s="1">
        <v>41.47</v>
      </c>
      <c r="K2628" t="s">
        <v>6</v>
      </c>
    </row>
    <row r="2629" spans="1:11">
      <c r="A2629" t="s">
        <v>2703</v>
      </c>
      <c r="B2629">
        <v>400540</v>
      </c>
      <c r="C2629" s="2" t="str">
        <f>"1082/P"</f>
        <v>1082/P</v>
      </c>
      <c r="D2629" t="s">
        <v>2723</v>
      </c>
      <c r="E2629" t="s">
        <v>4</v>
      </c>
      <c r="F2629">
        <v>6</v>
      </c>
      <c r="H2629" t="s">
        <v>5</v>
      </c>
      <c r="I2629" s="1">
        <v>22.39</v>
      </c>
      <c r="J2629" s="1">
        <v>21.76</v>
      </c>
      <c r="K2629" t="s">
        <v>6</v>
      </c>
    </row>
    <row r="2630" spans="1:11">
      <c r="A2630" t="s">
        <v>2703</v>
      </c>
      <c r="B2630">
        <v>406558</v>
      </c>
      <c r="C2630" s="2" t="str">
        <f>"1083"</f>
        <v>1083</v>
      </c>
      <c r="D2630" t="s">
        <v>2724</v>
      </c>
      <c r="E2630" t="s">
        <v>4</v>
      </c>
      <c r="F2630">
        <v>10</v>
      </c>
      <c r="H2630" t="s">
        <v>5</v>
      </c>
      <c r="I2630" s="1">
        <v>42.68</v>
      </c>
      <c r="J2630" s="1">
        <v>41.47</v>
      </c>
      <c r="K2630" t="s">
        <v>6</v>
      </c>
    </row>
    <row r="2631" spans="1:11">
      <c r="A2631" t="s">
        <v>2703</v>
      </c>
      <c r="B2631">
        <v>400541</v>
      </c>
      <c r="C2631" s="2" t="str">
        <f>"1083/P"</f>
        <v>1083/P</v>
      </c>
      <c r="D2631" t="s">
        <v>2725</v>
      </c>
      <c r="E2631" t="s">
        <v>4</v>
      </c>
      <c r="F2631">
        <v>6</v>
      </c>
      <c r="H2631" t="s">
        <v>5</v>
      </c>
      <c r="I2631" s="1">
        <v>22.39</v>
      </c>
      <c r="J2631" s="1">
        <v>21.76</v>
      </c>
      <c r="K2631" t="s">
        <v>6</v>
      </c>
    </row>
    <row r="2632" spans="1:11">
      <c r="A2632" t="s">
        <v>2703</v>
      </c>
      <c r="B2632">
        <v>400542</v>
      </c>
      <c r="C2632" s="2" t="str">
        <f>"1084/P"</f>
        <v>1084/P</v>
      </c>
      <c r="D2632" t="s">
        <v>2726</v>
      </c>
      <c r="E2632" t="s">
        <v>4</v>
      </c>
      <c r="F2632">
        <v>6</v>
      </c>
      <c r="H2632" t="s">
        <v>5</v>
      </c>
      <c r="I2632" s="1">
        <v>22.39</v>
      </c>
      <c r="J2632" s="1">
        <v>21.76</v>
      </c>
      <c r="K2632" t="s">
        <v>6</v>
      </c>
    </row>
    <row r="2633" spans="1:11">
      <c r="A2633" t="s">
        <v>2703</v>
      </c>
      <c r="B2633">
        <v>406559</v>
      </c>
      <c r="C2633" s="2" t="str">
        <f>"1084-1"</f>
        <v>1084-1</v>
      </c>
      <c r="D2633" t="s">
        <v>2727</v>
      </c>
      <c r="E2633" t="s">
        <v>4</v>
      </c>
      <c r="F2633">
        <v>10</v>
      </c>
      <c r="H2633" t="s">
        <v>5</v>
      </c>
      <c r="I2633" s="1">
        <v>42.68</v>
      </c>
      <c r="J2633" s="1">
        <v>41.47</v>
      </c>
      <c r="K2633" t="s">
        <v>6</v>
      </c>
    </row>
    <row r="2634" spans="1:11">
      <c r="A2634" t="s">
        <v>2703</v>
      </c>
      <c r="B2634">
        <v>406560</v>
      </c>
      <c r="C2634" s="2" t="str">
        <f>"1085"</f>
        <v>1085</v>
      </c>
      <c r="D2634" t="s">
        <v>2728</v>
      </c>
      <c r="E2634" t="s">
        <v>4</v>
      </c>
      <c r="F2634">
        <v>10</v>
      </c>
      <c r="H2634" t="s">
        <v>5</v>
      </c>
      <c r="I2634" s="1">
        <v>42.68</v>
      </c>
      <c r="J2634" s="1">
        <v>41.47</v>
      </c>
      <c r="K2634" t="s">
        <v>6</v>
      </c>
    </row>
    <row r="2635" spans="1:11">
      <c r="A2635" t="s">
        <v>2703</v>
      </c>
      <c r="B2635">
        <v>400543</v>
      </c>
      <c r="C2635" s="2" t="str">
        <f>"1085/P"</f>
        <v>1085/P</v>
      </c>
      <c r="D2635" t="s">
        <v>2729</v>
      </c>
      <c r="E2635" t="s">
        <v>4</v>
      </c>
      <c r="F2635">
        <v>6</v>
      </c>
      <c r="H2635" t="s">
        <v>5</v>
      </c>
      <c r="I2635" s="1">
        <v>22.39</v>
      </c>
      <c r="J2635" s="1">
        <v>21.76</v>
      </c>
      <c r="K2635" t="s">
        <v>6</v>
      </c>
    </row>
    <row r="2636" spans="1:11">
      <c r="A2636" t="s">
        <v>2703</v>
      </c>
      <c r="B2636">
        <v>402998</v>
      </c>
      <c r="C2636" s="2" t="str">
        <f>"1087-1"</f>
        <v>1087-1</v>
      </c>
      <c r="D2636" t="s">
        <v>2730</v>
      </c>
      <c r="E2636" t="s">
        <v>4</v>
      </c>
      <c r="F2636">
        <v>15</v>
      </c>
      <c r="H2636" t="s">
        <v>5</v>
      </c>
      <c r="I2636" s="1">
        <v>34.93</v>
      </c>
      <c r="J2636" s="1">
        <v>33.94</v>
      </c>
      <c r="K2636" t="s">
        <v>6</v>
      </c>
    </row>
    <row r="2637" spans="1:11">
      <c r="A2637" t="s">
        <v>2703</v>
      </c>
      <c r="B2637">
        <v>412297</v>
      </c>
      <c r="C2637" s="2" t="str">
        <f>"1088"</f>
        <v>1088</v>
      </c>
      <c r="D2637" t="s">
        <v>2731</v>
      </c>
      <c r="E2637" t="s">
        <v>4</v>
      </c>
      <c r="F2637">
        <v>20.5</v>
      </c>
      <c r="H2637" t="s">
        <v>5</v>
      </c>
      <c r="I2637" s="1">
        <v>43.11</v>
      </c>
      <c r="J2637" s="1">
        <v>41.89</v>
      </c>
      <c r="K2637" t="s">
        <v>6</v>
      </c>
    </row>
    <row r="2638" spans="1:11">
      <c r="A2638" t="s">
        <v>2703</v>
      </c>
      <c r="B2638">
        <v>400558</v>
      </c>
      <c r="C2638" s="2" t="str">
        <f>"1410"</f>
        <v>1410</v>
      </c>
      <c r="D2638" t="s">
        <v>2732</v>
      </c>
      <c r="E2638" t="s">
        <v>4</v>
      </c>
      <c r="F2638">
        <v>7</v>
      </c>
      <c r="H2638" t="s">
        <v>5</v>
      </c>
      <c r="I2638" s="1">
        <v>96.6</v>
      </c>
      <c r="J2638" s="1">
        <v>93.86</v>
      </c>
      <c r="K2638" t="s">
        <v>6</v>
      </c>
    </row>
    <row r="2639" spans="1:11">
      <c r="A2639" t="s">
        <v>2703</v>
      </c>
      <c r="B2639">
        <v>406325</v>
      </c>
      <c r="C2639" s="2" t="str">
        <f>"1410-S"</f>
        <v>1410-S</v>
      </c>
      <c r="D2639" t="s">
        <v>2733</v>
      </c>
      <c r="E2639" t="s">
        <v>4</v>
      </c>
      <c r="F2639">
        <v>10</v>
      </c>
      <c r="H2639" t="s">
        <v>5</v>
      </c>
      <c r="I2639" s="1">
        <v>95.63</v>
      </c>
      <c r="J2639" s="1">
        <v>92.92</v>
      </c>
      <c r="K2639" t="s">
        <v>6</v>
      </c>
    </row>
    <row r="2640" spans="1:11">
      <c r="A2640" t="s">
        <v>2703</v>
      </c>
      <c r="B2640">
        <v>431955</v>
      </c>
      <c r="C2640" s="2" t="str">
        <f>"20001"</f>
        <v>20001</v>
      </c>
      <c r="D2640" t="s">
        <v>2734</v>
      </c>
      <c r="E2640" t="s">
        <v>4</v>
      </c>
      <c r="F2640">
        <v>9.5</v>
      </c>
      <c r="H2640" t="s">
        <v>5</v>
      </c>
      <c r="I2640" s="1">
        <v>35.07</v>
      </c>
      <c r="J2640" s="1">
        <v>34.07</v>
      </c>
      <c r="K2640" t="s">
        <v>6</v>
      </c>
    </row>
    <row r="2641" spans="1:11">
      <c r="A2641" t="s">
        <v>2703</v>
      </c>
      <c r="B2641">
        <v>400544</v>
      </c>
      <c r="C2641" s="2" t="str">
        <f>"2001"</f>
        <v>2001</v>
      </c>
      <c r="D2641" t="s">
        <v>2735</v>
      </c>
      <c r="E2641" t="s">
        <v>4</v>
      </c>
      <c r="F2641">
        <v>11</v>
      </c>
      <c r="H2641" t="s">
        <v>5</v>
      </c>
      <c r="I2641" s="1">
        <v>37.380000000000003</v>
      </c>
      <c r="J2641" s="1">
        <v>36.31</v>
      </c>
      <c r="K2641" t="s">
        <v>6</v>
      </c>
    </row>
    <row r="2642" spans="1:11">
      <c r="A2642" t="s">
        <v>2703</v>
      </c>
      <c r="B2642">
        <v>425878</v>
      </c>
      <c r="C2642" s="2" t="str">
        <f>"20431"</f>
        <v>20431</v>
      </c>
      <c r="D2642" t="s">
        <v>2736</v>
      </c>
      <c r="E2642" t="s">
        <v>4</v>
      </c>
      <c r="F2642">
        <v>5</v>
      </c>
      <c r="H2642" t="s">
        <v>5</v>
      </c>
      <c r="I2642" s="1">
        <v>18.059999999999999</v>
      </c>
      <c r="J2642" s="1">
        <v>17.54</v>
      </c>
      <c r="K2642" t="s">
        <v>6</v>
      </c>
    </row>
    <row r="2643" spans="1:11">
      <c r="A2643" t="s">
        <v>2703</v>
      </c>
      <c r="B2643">
        <v>484536</v>
      </c>
      <c r="C2643" s="2" t="str">
        <f>"20501"</f>
        <v>20501</v>
      </c>
      <c r="D2643" t="s">
        <v>2737</v>
      </c>
      <c r="E2643" t="s">
        <v>4</v>
      </c>
      <c r="F2643">
        <v>7</v>
      </c>
      <c r="H2643" t="s">
        <v>5</v>
      </c>
      <c r="I2643" s="1">
        <v>12.32</v>
      </c>
      <c r="J2643" s="1">
        <v>12.09</v>
      </c>
      <c r="K2643" t="s">
        <v>6</v>
      </c>
    </row>
    <row r="2644" spans="1:11">
      <c r="A2644" t="s">
        <v>2703</v>
      </c>
      <c r="B2644">
        <v>484540</v>
      </c>
      <c r="C2644" s="2" t="str">
        <f>"20511"</f>
        <v>20511</v>
      </c>
      <c r="D2644" t="s">
        <v>2738</v>
      </c>
      <c r="E2644" t="s">
        <v>4</v>
      </c>
      <c r="F2644">
        <v>7</v>
      </c>
      <c r="H2644" t="s">
        <v>5</v>
      </c>
      <c r="I2644" s="1">
        <v>12.32</v>
      </c>
      <c r="J2644" s="1">
        <v>12.09</v>
      </c>
      <c r="K2644" t="s">
        <v>6</v>
      </c>
    </row>
    <row r="2645" spans="1:11">
      <c r="A2645" t="s">
        <v>2703</v>
      </c>
      <c r="B2645">
        <v>484542</v>
      </c>
      <c r="C2645" s="2" t="str">
        <f>"20521"</f>
        <v>20521</v>
      </c>
      <c r="D2645" t="s">
        <v>2739</v>
      </c>
      <c r="E2645" t="s">
        <v>4</v>
      </c>
      <c r="F2645">
        <v>7</v>
      </c>
      <c r="H2645" t="s">
        <v>5</v>
      </c>
      <c r="I2645" s="1">
        <v>12.32</v>
      </c>
      <c r="J2645" s="1">
        <v>12.09</v>
      </c>
      <c r="K2645" t="s">
        <v>6</v>
      </c>
    </row>
    <row r="2646" spans="1:11">
      <c r="A2646" t="s">
        <v>2703</v>
      </c>
      <c r="B2646">
        <v>484543</v>
      </c>
      <c r="C2646" s="2" t="str">
        <f>"20531"</f>
        <v>20531</v>
      </c>
      <c r="D2646" t="s">
        <v>2740</v>
      </c>
      <c r="E2646" t="s">
        <v>4</v>
      </c>
      <c r="F2646">
        <v>7</v>
      </c>
      <c r="H2646" t="s">
        <v>5</v>
      </c>
      <c r="I2646" s="1">
        <v>12.32</v>
      </c>
      <c r="J2646" s="1">
        <v>12.09</v>
      </c>
      <c r="K2646" t="s">
        <v>6</v>
      </c>
    </row>
    <row r="2647" spans="1:11">
      <c r="A2647" t="s">
        <v>2703</v>
      </c>
      <c r="B2647">
        <v>484539</v>
      </c>
      <c r="C2647" s="2" t="str">
        <f>"20541"</f>
        <v>20541</v>
      </c>
      <c r="D2647" t="s">
        <v>2741</v>
      </c>
      <c r="E2647" t="s">
        <v>4</v>
      </c>
      <c r="F2647">
        <v>7</v>
      </c>
      <c r="H2647" t="s">
        <v>5</v>
      </c>
      <c r="I2647" s="1">
        <v>12.32</v>
      </c>
      <c r="J2647" s="1">
        <v>12.09</v>
      </c>
      <c r="K2647" t="s">
        <v>6</v>
      </c>
    </row>
    <row r="2648" spans="1:11">
      <c r="A2648" t="s">
        <v>2703</v>
      </c>
      <c r="B2648">
        <v>484549</v>
      </c>
      <c r="C2648" s="2" t="str">
        <f>"20551"</f>
        <v>20551</v>
      </c>
      <c r="D2648" t="s">
        <v>2742</v>
      </c>
      <c r="E2648" t="s">
        <v>4</v>
      </c>
      <c r="F2648">
        <v>10</v>
      </c>
      <c r="H2648" t="s">
        <v>5</v>
      </c>
      <c r="I2648" s="1">
        <v>21.63</v>
      </c>
      <c r="J2648" s="1">
        <v>21.2</v>
      </c>
      <c r="K2648" t="s">
        <v>6</v>
      </c>
    </row>
    <row r="2649" spans="1:11">
      <c r="A2649" t="s">
        <v>2703</v>
      </c>
      <c r="B2649">
        <v>484564</v>
      </c>
      <c r="C2649" s="2" t="str">
        <f>"20821"</f>
        <v>20821</v>
      </c>
      <c r="D2649" t="s">
        <v>2743</v>
      </c>
      <c r="E2649" t="s">
        <v>4</v>
      </c>
      <c r="F2649">
        <v>14.5</v>
      </c>
      <c r="H2649" t="s">
        <v>5</v>
      </c>
      <c r="I2649" s="1">
        <v>35.26</v>
      </c>
      <c r="J2649" s="1">
        <v>34.549999999999997</v>
      </c>
      <c r="K2649" t="s">
        <v>6</v>
      </c>
    </row>
    <row r="2650" spans="1:11">
      <c r="A2650" t="s">
        <v>2703</v>
      </c>
      <c r="B2650">
        <v>484565</v>
      </c>
      <c r="C2650" s="2" t="str">
        <f>"20831"</f>
        <v>20831</v>
      </c>
      <c r="D2650" t="s">
        <v>2744</v>
      </c>
      <c r="E2650" t="s">
        <v>4</v>
      </c>
      <c r="F2650">
        <v>13</v>
      </c>
      <c r="H2650" t="s">
        <v>5</v>
      </c>
      <c r="I2650" s="1">
        <v>35.26</v>
      </c>
      <c r="J2650" s="1">
        <v>34.549999999999997</v>
      </c>
      <c r="K2650" t="s">
        <v>6</v>
      </c>
    </row>
    <row r="2651" spans="1:11">
      <c r="A2651" t="s">
        <v>2703</v>
      </c>
      <c r="B2651">
        <v>484566</v>
      </c>
      <c r="C2651" s="2" t="str">
        <f>"20841"</f>
        <v>20841</v>
      </c>
      <c r="D2651" t="s">
        <v>2745</v>
      </c>
      <c r="E2651" t="s">
        <v>4</v>
      </c>
      <c r="F2651">
        <v>16.5</v>
      </c>
      <c r="H2651" t="s">
        <v>5</v>
      </c>
      <c r="I2651" s="1">
        <v>35.26</v>
      </c>
      <c r="J2651" s="1">
        <v>34.549999999999997</v>
      </c>
      <c r="K2651" t="s">
        <v>6</v>
      </c>
    </row>
    <row r="2652" spans="1:11">
      <c r="A2652" t="s">
        <v>2703</v>
      </c>
      <c r="B2652">
        <v>484567</v>
      </c>
      <c r="C2652" s="2" t="str">
        <f>"20851"</f>
        <v>20851</v>
      </c>
      <c r="D2652" t="s">
        <v>2746</v>
      </c>
      <c r="E2652" t="s">
        <v>4</v>
      </c>
      <c r="F2652">
        <v>17</v>
      </c>
      <c r="H2652" t="s">
        <v>5</v>
      </c>
      <c r="I2652" s="1">
        <v>35.26</v>
      </c>
      <c r="J2652" s="1">
        <v>34.549999999999997</v>
      </c>
      <c r="K2652" t="s">
        <v>6</v>
      </c>
    </row>
    <row r="2653" spans="1:11">
      <c r="A2653" t="s">
        <v>2703</v>
      </c>
      <c r="B2653">
        <v>484559</v>
      </c>
      <c r="C2653" s="2" t="str">
        <f>"20911"</f>
        <v>20911</v>
      </c>
      <c r="D2653" t="s">
        <v>2747</v>
      </c>
      <c r="E2653" t="s">
        <v>4</v>
      </c>
      <c r="F2653">
        <v>14.5</v>
      </c>
      <c r="H2653" t="s">
        <v>5</v>
      </c>
      <c r="I2653" s="1">
        <v>35.26</v>
      </c>
      <c r="J2653" s="1">
        <v>34.549999999999997</v>
      </c>
      <c r="K2653" t="s">
        <v>6</v>
      </c>
    </row>
    <row r="2654" spans="1:11">
      <c r="A2654" t="s">
        <v>2703</v>
      </c>
      <c r="B2654">
        <v>484560</v>
      </c>
      <c r="C2654" s="2" t="str">
        <f>"20921"</f>
        <v>20921</v>
      </c>
      <c r="D2654" t="s">
        <v>2748</v>
      </c>
      <c r="E2654" t="s">
        <v>4</v>
      </c>
      <c r="F2654">
        <v>13</v>
      </c>
      <c r="H2654" t="s">
        <v>5</v>
      </c>
      <c r="I2654" s="1">
        <v>35.26</v>
      </c>
      <c r="J2654" s="1">
        <v>34.549999999999997</v>
      </c>
      <c r="K2654" t="s">
        <v>6</v>
      </c>
    </row>
    <row r="2655" spans="1:11">
      <c r="A2655" t="s">
        <v>2703</v>
      </c>
      <c r="B2655">
        <v>484562</v>
      </c>
      <c r="C2655" s="2" t="str">
        <f>"20931"</f>
        <v>20931</v>
      </c>
      <c r="D2655" t="s">
        <v>2749</v>
      </c>
      <c r="E2655" t="s">
        <v>4</v>
      </c>
      <c r="F2655">
        <v>16.5</v>
      </c>
      <c r="H2655" t="s">
        <v>5</v>
      </c>
      <c r="I2655" s="1">
        <v>35.26</v>
      </c>
      <c r="J2655" s="1">
        <v>34.549999999999997</v>
      </c>
      <c r="K2655" t="s">
        <v>6</v>
      </c>
    </row>
    <row r="2656" spans="1:11">
      <c r="A2656" t="s">
        <v>2703</v>
      </c>
      <c r="B2656">
        <v>484563</v>
      </c>
      <c r="C2656" s="2" t="str">
        <f>"20941"</f>
        <v>20941</v>
      </c>
      <c r="D2656" t="s">
        <v>2750</v>
      </c>
      <c r="E2656" t="s">
        <v>4</v>
      </c>
      <c r="F2656">
        <v>17</v>
      </c>
      <c r="H2656" t="s">
        <v>5</v>
      </c>
      <c r="I2656" s="1">
        <v>35.26</v>
      </c>
      <c r="J2656" s="1">
        <v>34.549999999999997</v>
      </c>
      <c r="K2656" t="s">
        <v>6</v>
      </c>
    </row>
    <row r="2657" spans="1:11">
      <c r="A2657" t="s">
        <v>2703</v>
      </c>
      <c r="B2657">
        <v>400560</v>
      </c>
      <c r="C2657" s="2" t="str">
        <f>"2100-4"</f>
        <v>2100-4</v>
      </c>
      <c r="D2657" t="s">
        <v>2751</v>
      </c>
      <c r="E2657" t="s">
        <v>4</v>
      </c>
      <c r="F2657">
        <v>7</v>
      </c>
      <c r="H2657" t="s">
        <v>5</v>
      </c>
      <c r="I2657" s="1">
        <v>12.88</v>
      </c>
      <c r="J2657" s="1">
        <v>12.52</v>
      </c>
      <c r="K2657" t="s">
        <v>6</v>
      </c>
    </row>
    <row r="2658" spans="1:11">
      <c r="A2658" t="s">
        <v>2703</v>
      </c>
      <c r="B2658">
        <v>484553</v>
      </c>
      <c r="C2658" s="2" t="str">
        <f>"22551"</f>
        <v>22551</v>
      </c>
      <c r="D2658" t="s">
        <v>2752</v>
      </c>
      <c r="E2658" t="s">
        <v>4</v>
      </c>
      <c r="F2658">
        <v>10.5</v>
      </c>
      <c r="H2658" t="s">
        <v>5</v>
      </c>
      <c r="I2658" s="1">
        <v>26.12</v>
      </c>
      <c r="J2658" s="1">
        <v>25.6</v>
      </c>
      <c r="K2658" t="s">
        <v>6</v>
      </c>
    </row>
    <row r="2659" spans="1:11">
      <c r="A2659" t="s">
        <v>2703</v>
      </c>
      <c r="B2659">
        <v>484556</v>
      </c>
      <c r="C2659" s="2" t="str">
        <f>"22561"</f>
        <v>22561</v>
      </c>
      <c r="D2659" t="s">
        <v>2753</v>
      </c>
      <c r="E2659" t="s">
        <v>4</v>
      </c>
      <c r="F2659">
        <v>9.5</v>
      </c>
      <c r="H2659" t="s">
        <v>5</v>
      </c>
      <c r="I2659" s="1">
        <v>26.12</v>
      </c>
      <c r="J2659" s="1">
        <v>25.6</v>
      </c>
      <c r="K2659" t="s">
        <v>6</v>
      </c>
    </row>
    <row r="2660" spans="1:11">
      <c r="A2660" t="s">
        <v>2703</v>
      </c>
      <c r="B2660">
        <v>529119</v>
      </c>
      <c r="C2660" s="2" t="str">
        <f>"25841"</f>
        <v>25841</v>
      </c>
      <c r="D2660" t="s">
        <v>2754</v>
      </c>
      <c r="E2660" t="s">
        <v>4</v>
      </c>
      <c r="F2660">
        <v>7</v>
      </c>
      <c r="H2660" t="s">
        <v>5</v>
      </c>
      <c r="I2660" s="1">
        <v>12.44</v>
      </c>
      <c r="J2660" s="1">
        <v>12.19</v>
      </c>
      <c r="K2660" t="s">
        <v>6</v>
      </c>
    </row>
    <row r="2661" spans="1:11">
      <c r="A2661" t="s">
        <v>2703</v>
      </c>
      <c r="B2661">
        <v>484568</v>
      </c>
      <c r="C2661" s="2" t="str">
        <f>"MK12"</f>
        <v>MK12</v>
      </c>
      <c r="D2661" t="s">
        <v>2755</v>
      </c>
      <c r="E2661" t="s">
        <v>4</v>
      </c>
      <c r="F2661">
        <v>11</v>
      </c>
      <c r="H2661" t="s">
        <v>5</v>
      </c>
      <c r="I2661" s="1">
        <v>27.46</v>
      </c>
      <c r="J2661" s="1">
        <v>26.91</v>
      </c>
      <c r="K2661" t="s">
        <v>6</v>
      </c>
    </row>
    <row r="2662" spans="1:11">
      <c r="A2662" t="s">
        <v>2703</v>
      </c>
      <c r="B2662">
        <v>484569</v>
      </c>
      <c r="C2662" s="2" t="str">
        <f>"MK5"</f>
        <v>MK5</v>
      </c>
      <c r="D2662" t="s">
        <v>2756</v>
      </c>
      <c r="E2662" t="s">
        <v>4</v>
      </c>
      <c r="F2662">
        <v>7</v>
      </c>
      <c r="H2662" t="s">
        <v>5</v>
      </c>
      <c r="I2662" s="1">
        <v>18.11</v>
      </c>
      <c r="J2662" s="1">
        <v>17.75</v>
      </c>
      <c r="K2662" t="s">
        <v>6</v>
      </c>
    </row>
    <row r="2663" spans="1:11">
      <c r="A2663" t="s">
        <v>2703</v>
      </c>
      <c r="B2663">
        <v>493016</v>
      </c>
      <c r="C2663" s="2" t="str">
        <f>"MK7"</f>
        <v>MK7</v>
      </c>
      <c r="D2663" t="s">
        <v>2757</v>
      </c>
      <c r="E2663" t="s">
        <v>4</v>
      </c>
      <c r="F2663">
        <v>8.5</v>
      </c>
      <c r="H2663" t="s">
        <v>5</v>
      </c>
      <c r="I2663" s="1">
        <v>22.67</v>
      </c>
      <c r="J2663" s="1">
        <v>22.22</v>
      </c>
      <c r="K2663" t="s">
        <v>6</v>
      </c>
    </row>
    <row r="2664" spans="1:11">
      <c r="A2664" t="s">
        <v>2703</v>
      </c>
      <c r="B2664">
        <v>484571</v>
      </c>
      <c r="C2664" s="2" t="str">
        <f>"SK2"</f>
        <v>SK2</v>
      </c>
      <c r="D2664" t="s">
        <v>2758</v>
      </c>
      <c r="E2664" t="s">
        <v>4</v>
      </c>
      <c r="F2664">
        <v>12</v>
      </c>
      <c r="H2664" t="s">
        <v>5</v>
      </c>
      <c r="I2664" s="1">
        <v>27.91</v>
      </c>
      <c r="J2664" s="1">
        <v>27.35</v>
      </c>
      <c r="K2664" t="s">
        <v>6</v>
      </c>
    </row>
    <row r="2665" spans="1:11">
      <c r="A2665" t="s">
        <v>2759</v>
      </c>
      <c r="B2665">
        <v>475575</v>
      </c>
      <c r="C2665" s="2" t="str">
        <f>"195-OAWHA"</f>
        <v>195-OAWHA</v>
      </c>
      <c r="D2665" t="s">
        <v>2760</v>
      </c>
      <c r="E2665" t="s">
        <v>4</v>
      </c>
      <c r="F2665">
        <v>11</v>
      </c>
      <c r="H2665" t="s">
        <v>5</v>
      </c>
      <c r="I2665" s="1">
        <v>99.92</v>
      </c>
      <c r="J2665" s="1">
        <v>94.92</v>
      </c>
      <c r="K2665" t="s">
        <v>6</v>
      </c>
    </row>
    <row r="2666" spans="1:11">
      <c r="A2666" t="s">
        <v>2759</v>
      </c>
      <c r="B2666">
        <v>475577</v>
      </c>
      <c r="C2666" s="2" t="str">
        <f>"362-OAWHA"</f>
        <v>362-OAWHA</v>
      </c>
      <c r="D2666" t="s">
        <v>2761</v>
      </c>
      <c r="E2666" t="s">
        <v>4</v>
      </c>
      <c r="F2666">
        <v>14</v>
      </c>
      <c r="H2666" t="s">
        <v>5</v>
      </c>
      <c r="I2666" s="1">
        <v>101.97</v>
      </c>
      <c r="J2666" s="1">
        <v>96.87</v>
      </c>
      <c r="K2666" t="s">
        <v>6</v>
      </c>
    </row>
    <row r="2667" spans="1:11">
      <c r="A2667" t="s">
        <v>2759</v>
      </c>
      <c r="B2667">
        <v>475578</v>
      </c>
      <c r="C2667" s="2" t="str">
        <f>"363-OAWHA"</f>
        <v>363-OAWHA</v>
      </c>
      <c r="D2667" t="s">
        <v>2762</v>
      </c>
      <c r="E2667" t="s">
        <v>4</v>
      </c>
      <c r="F2667">
        <v>18</v>
      </c>
      <c r="H2667" t="s">
        <v>5</v>
      </c>
      <c r="I2667" s="1">
        <v>118.11</v>
      </c>
      <c r="J2667" s="1">
        <v>112.21</v>
      </c>
      <c r="K2667" t="s">
        <v>6</v>
      </c>
    </row>
    <row r="2668" spans="1:11">
      <c r="A2668" t="s">
        <v>2759</v>
      </c>
      <c r="B2668">
        <v>475584</v>
      </c>
      <c r="C2668" s="2" t="str">
        <f>"371-OAWHA"</f>
        <v>371-OAWHA</v>
      </c>
      <c r="D2668" t="s">
        <v>2763</v>
      </c>
      <c r="E2668" t="s">
        <v>4</v>
      </c>
      <c r="F2668">
        <v>16</v>
      </c>
      <c r="H2668" t="s">
        <v>5</v>
      </c>
      <c r="I2668" s="1">
        <v>199.02</v>
      </c>
      <c r="J2668" s="1">
        <v>189.07</v>
      </c>
      <c r="K2668" t="s">
        <v>6</v>
      </c>
    </row>
    <row r="2669" spans="1:11">
      <c r="A2669" t="s">
        <v>2759</v>
      </c>
      <c r="B2669">
        <v>476048</v>
      </c>
      <c r="C2669" s="2" t="str">
        <f>"4530-0AWHA"</f>
        <v>4530-0AWHA</v>
      </c>
      <c r="D2669" t="s">
        <v>2764</v>
      </c>
      <c r="E2669" t="s">
        <v>4</v>
      </c>
      <c r="F2669">
        <v>14</v>
      </c>
      <c r="H2669" t="s">
        <v>5</v>
      </c>
      <c r="I2669" s="1">
        <v>111.79</v>
      </c>
      <c r="J2669" s="1">
        <v>106.2</v>
      </c>
      <c r="K2669" t="s">
        <v>6</v>
      </c>
    </row>
    <row r="2670" spans="1:11">
      <c r="A2670" t="s">
        <v>2759</v>
      </c>
      <c r="B2670">
        <v>476049</v>
      </c>
      <c r="C2670" s="2" t="str">
        <f>"4531-0AWHA"</f>
        <v>4531-0AWHA</v>
      </c>
      <c r="D2670" t="s">
        <v>2765</v>
      </c>
      <c r="E2670" t="s">
        <v>4</v>
      </c>
      <c r="F2670">
        <v>10</v>
      </c>
      <c r="H2670" t="s">
        <v>5</v>
      </c>
      <c r="I2670" s="1">
        <v>99.33</v>
      </c>
      <c r="J2670" s="1">
        <v>94.37</v>
      </c>
      <c r="K2670" t="s">
        <v>6</v>
      </c>
    </row>
    <row r="2671" spans="1:11">
      <c r="A2671" t="s">
        <v>2759</v>
      </c>
      <c r="B2671">
        <v>476050</v>
      </c>
      <c r="C2671" s="2" t="str">
        <f>"4532-0AWHA"</f>
        <v>4532-0AWHA</v>
      </c>
      <c r="D2671" t="s">
        <v>2766</v>
      </c>
      <c r="E2671" t="s">
        <v>4</v>
      </c>
      <c r="F2671">
        <v>13</v>
      </c>
      <c r="H2671" t="s">
        <v>5</v>
      </c>
      <c r="I2671" s="1">
        <v>102.67</v>
      </c>
      <c r="J2671" s="1">
        <v>97.53</v>
      </c>
      <c r="K2671" t="s">
        <v>6</v>
      </c>
    </row>
    <row r="2672" spans="1:11">
      <c r="A2672" t="s">
        <v>2759</v>
      </c>
      <c r="B2672">
        <v>476051</v>
      </c>
      <c r="C2672" s="2" t="str">
        <f>"4533-0AWHA"</f>
        <v>4533-0AWHA</v>
      </c>
      <c r="D2672" t="s">
        <v>2767</v>
      </c>
      <c r="E2672" t="s">
        <v>4</v>
      </c>
      <c r="F2672">
        <v>17</v>
      </c>
      <c r="H2672" t="s">
        <v>5</v>
      </c>
      <c r="I2672" s="1">
        <v>108.99</v>
      </c>
      <c r="J2672" s="1">
        <v>103.54</v>
      </c>
      <c r="K2672" t="s">
        <v>6</v>
      </c>
    </row>
    <row r="2673" spans="1:11">
      <c r="A2673" t="s">
        <v>2759</v>
      </c>
      <c r="B2673">
        <v>476052</v>
      </c>
      <c r="C2673" s="2" t="str">
        <f>"4534-0AWHA"</f>
        <v>4534-0AWHA</v>
      </c>
      <c r="D2673" t="s">
        <v>2768</v>
      </c>
      <c r="E2673" t="s">
        <v>4</v>
      </c>
      <c r="F2673">
        <v>24</v>
      </c>
      <c r="H2673" t="s">
        <v>5</v>
      </c>
      <c r="I2673" s="1">
        <v>105.65</v>
      </c>
      <c r="J2673" s="1">
        <v>100.37</v>
      </c>
      <c r="K2673" t="s">
        <v>6</v>
      </c>
    </row>
    <row r="2674" spans="1:11">
      <c r="A2674" t="s">
        <v>2759</v>
      </c>
      <c r="B2674">
        <v>476053</v>
      </c>
      <c r="C2674" s="2" t="str">
        <f>"4535-0AWHA"</f>
        <v>4535-0AWHA</v>
      </c>
      <c r="D2674" t="s">
        <v>2769</v>
      </c>
      <c r="E2674" t="s">
        <v>4</v>
      </c>
      <c r="F2674">
        <v>32</v>
      </c>
      <c r="H2674" t="s">
        <v>5</v>
      </c>
      <c r="I2674" s="1">
        <v>137.59</v>
      </c>
      <c r="J2674" s="1">
        <v>130.71</v>
      </c>
      <c r="K2674" t="s">
        <v>6</v>
      </c>
    </row>
    <row r="2675" spans="1:11">
      <c r="A2675" t="s">
        <v>2759</v>
      </c>
      <c r="B2675">
        <v>476054</v>
      </c>
      <c r="C2675" s="2" t="str">
        <f>"4536-0AWHA"</f>
        <v>4536-0AWHA</v>
      </c>
      <c r="D2675" t="s">
        <v>2770</v>
      </c>
      <c r="E2675" t="s">
        <v>4</v>
      </c>
      <c r="F2675">
        <v>37</v>
      </c>
      <c r="H2675" t="s">
        <v>5</v>
      </c>
      <c r="I2675" s="1">
        <v>213.53</v>
      </c>
      <c r="J2675" s="1">
        <v>202.85</v>
      </c>
      <c r="K2675" t="s">
        <v>6</v>
      </c>
    </row>
    <row r="2676" spans="1:11">
      <c r="A2676" t="s">
        <v>2759</v>
      </c>
      <c r="B2676">
        <v>476055</v>
      </c>
      <c r="C2676" s="2" t="str">
        <f>"4537-0AWHA"</f>
        <v>4537-0AWHA</v>
      </c>
      <c r="D2676" t="s">
        <v>2771</v>
      </c>
      <c r="E2676" t="s">
        <v>4</v>
      </c>
      <c r="F2676">
        <v>25</v>
      </c>
      <c r="H2676" t="s">
        <v>5</v>
      </c>
      <c r="I2676" s="1">
        <v>144.85</v>
      </c>
      <c r="J2676" s="1">
        <v>137.6</v>
      </c>
      <c r="K2676" t="s">
        <v>6</v>
      </c>
    </row>
    <row r="2677" spans="1:11">
      <c r="A2677" t="s">
        <v>2759</v>
      </c>
      <c r="B2677">
        <v>476056</v>
      </c>
      <c r="C2677" s="2" t="str">
        <f>"4538-0AWHA"</f>
        <v>4538-0AWHA</v>
      </c>
      <c r="D2677" t="s">
        <v>2772</v>
      </c>
      <c r="E2677" t="s">
        <v>4</v>
      </c>
      <c r="F2677">
        <v>28</v>
      </c>
      <c r="H2677" t="s">
        <v>5</v>
      </c>
      <c r="I2677" s="1">
        <v>170.24</v>
      </c>
      <c r="J2677" s="1">
        <v>161.72</v>
      </c>
      <c r="K2677" t="s">
        <v>6</v>
      </c>
    </row>
    <row r="2678" spans="1:11">
      <c r="A2678" t="s">
        <v>2759</v>
      </c>
      <c r="B2678">
        <v>476058</v>
      </c>
      <c r="C2678" s="2" t="str">
        <f>"4539-0AWHA"</f>
        <v>4539-0AWHA</v>
      </c>
      <c r="D2678" t="s">
        <v>2773</v>
      </c>
      <c r="E2678" t="s">
        <v>4</v>
      </c>
      <c r="F2678">
        <v>12</v>
      </c>
      <c r="H2678" t="s">
        <v>5</v>
      </c>
      <c r="I2678" s="1">
        <v>94.42</v>
      </c>
      <c r="J2678" s="1">
        <v>89.7</v>
      </c>
      <c r="K2678" t="s">
        <v>6</v>
      </c>
    </row>
    <row r="2679" spans="1:11">
      <c r="A2679" t="s">
        <v>2759</v>
      </c>
      <c r="B2679">
        <v>476059</v>
      </c>
      <c r="C2679" s="2" t="str">
        <f>"4541-0AWHA"</f>
        <v>4541-0AWHA</v>
      </c>
      <c r="D2679" t="s">
        <v>2774</v>
      </c>
      <c r="E2679" t="s">
        <v>4</v>
      </c>
      <c r="F2679">
        <v>16</v>
      </c>
      <c r="H2679" t="s">
        <v>5</v>
      </c>
      <c r="I2679" s="1">
        <v>121.45</v>
      </c>
      <c r="J2679" s="1">
        <v>115.37</v>
      </c>
      <c r="K2679" t="s">
        <v>6</v>
      </c>
    </row>
    <row r="2680" spans="1:11">
      <c r="A2680" t="s">
        <v>2759</v>
      </c>
      <c r="B2680">
        <v>476061</v>
      </c>
      <c r="C2680" s="2" t="str">
        <f>"4542-0AWHA"</f>
        <v>4542-0AWHA</v>
      </c>
      <c r="D2680" t="s">
        <v>2775</v>
      </c>
      <c r="E2680" t="s">
        <v>4</v>
      </c>
      <c r="F2680">
        <v>19</v>
      </c>
      <c r="H2680" t="s">
        <v>5</v>
      </c>
      <c r="I2680" s="1">
        <v>145.43</v>
      </c>
      <c r="J2680" s="1">
        <v>138.16</v>
      </c>
      <c r="K2680" t="s">
        <v>6</v>
      </c>
    </row>
    <row r="2681" spans="1:11">
      <c r="A2681" t="s">
        <v>2759</v>
      </c>
      <c r="B2681">
        <v>476062</v>
      </c>
      <c r="C2681" s="2" t="str">
        <f>"4544-0AWHA"</f>
        <v>4544-0AWHA</v>
      </c>
      <c r="D2681" t="s">
        <v>2776</v>
      </c>
      <c r="E2681" t="s">
        <v>4</v>
      </c>
      <c r="F2681">
        <v>22</v>
      </c>
      <c r="H2681" t="s">
        <v>5</v>
      </c>
      <c r="I2681" s="1">
        <v>117.12</v>
      </c>
      <c r="J2681" s="1">
        <v>111.26</v>
      </c>
      <c r="K2681" t="s">
        <v>6</v>
      </c>
    </row>
    <row r="2682" spans="1:11">
      <c r="A2682" t="s">
        <v>2759</v>
      </c>
      <c r="B2682">
        <v>476064</v>
      </c>
      <c r="C2682" s="2" t="str">
        <f>"4551-0AWHA"</f>
        <v>4551-0AWHA</v>
      </c>
      <c r="D2682" t="s">
        <v>2777</v>
      </c>
      <c r="E2682" t="s">
        <v>4</v>
      </c>
      <c r="F2682">
        <v>14</v>
      </c>
      <c r="H2682" t="s">
        <v>5</v>
      </c>
      <c r="I2682" s="1">
        <v>91.26</v>
      </c>
      <c r="J2682" s="1">
        <v>86.7</v>
      </c>
      <c r="K2682" t="s">
        <v>6</v>
      </c>
    </row>
    <row r="2683" spans="1:11">
      <c r="A2683" t="s">
        <v>2759</v>
      </c>
      <c r="B2683">
        <v>475613</v>
      </c>
      <c r="C2683" s="2" t="str">
        <f>"498-OAWHA"</f>
        <v>498-OAWHA</v>
      </c>
      <c r="D2683" t="s">
        <v>2778</v>
      </c>
      <c r="E2683" t="s">
        <v>4</v>
      </c>
      <c r="F2683">
        <v>20</v>
      </c>
      <c r="H2683" t="s">
        <v>5</v>
      </c>
      <c r="I2683" s="1">
        <v>129.52000000000001</v>
      </c>
      <c r="J2683" s="1">
        <v>123.04</v>
      </c>
      <c r="K2683" t="s">
        <v>6</v>
      </c>
    </row>
    <row r="2684" spans="1:11">
      <c r="A2684" t="s">
        <v>2759</v>
      </c>
      <c r="B2684">
        <v>475617</v>
      </c>
      <c r="C2684" s="2" t="str">
        <f>"527-OAWHA"</f>
        <v>527-OAWHA</v>
      </c>
      <c r="D2684" t="s">
        <v>2779</v>
      </c>
      <c r="E2684" t="s">
        <v>4</v>
      </c>
      <c r="F2684">
        <v>21</v>
      </c>
      <c r="H2684" t="s">
        <v>5</v>
      </c>
      <c r="I2684" s="1">
        <v>137.36000000000001</v>
      </c>
      <c r="J2684" s="1">
        <v>130.49</v>
      </c>
      <c r="K2684" t="s">
        <v>6</v>
      </c>
    </row>
    <row r="2685" spans="1:11">
      <c r="A2685" t="s">
        <v>2759</v>
      </c>
      <c r="B2685">
        <v>475623</v>
      </c>
      <c r="C2685" s="2" t="str">
        <f>"528-OAWHA"</f>
        <v>528-OAWHA</v>
      </c>
      <c r="D2685" t="s">
        <v>2780</v>
      </c>
      <c r="E2685" t="s">
        <v>4</v>
      </c>
      <c r="F2685">
        <v>29</v>
      </c>
      <c r="H2685" t="s">
        <v>5</v>
      </c>
      <c r="I2685" s="1">
        <v>156.08000000000001</v>
      </c>
      <c r="J2685" s="1">
        <v>148.27000000000001</v>
      </c>
      <c r="K2685" t="s">
        <v>6</v>
      </c>
    </row>
    <row r="2686" spans="1:11">
      <c r="A2686" t="s">
        <v>2759</v>
      </c>
      <c r="B2686">
        <v>476019</v>
      </c>
      <c r="C2686" s="2" t="str">
        <f>"829-0AWHA"</f>
        <v>829-0AWHA</v>
      </c>
      <c r="D2686" t="s">
        <v>2781</v>
      </c>
      <c r="E2686" t="s">
        <v>4</v>
      </c>
      <c r="F2686">
        <v>10</v>
      </c>
      <c r="H2686" t="s">
        <v>5</v>
      </c>
      <c r="I2686" s="1">
        <v>105.3</v>
      </c>
      <c r="J2686" s="1">
        <v>100.04</v>
      </c>
      <c r="K2686" t="s">
        <v>6</v>
      </c>
    </row>
    <row r="2687" spans="1:11">
      <c r="A2687" t="s">
        <v>2759</v>
      </c>
      <c r="B2687">
        <v>475574</v>
      </c>
      <c r="C2687" s="2" t="str">
        <f>"82-OAWHA"</f>
        <v>82-OAWHA</v>
      </c>
      <c r="D2687" t="s">
        <v>2782</v>
      </c>
      <c r="E2687" t="s">
        <v>4</v>
      </c>
      <c r="F2687">
        <v>16</v>
      </c>
      <c r="H2687" t="s">
        <v>5</v>
      </c>
      <c r="I2687" s="1">
        <v>123.84</v>
      </c>
      <c r="J2687" s="1">
        <v>117.65</v>
      </c>
      <c r="K2687" t="s">
        <v>6</v>
      </c>
    </row>
    <row r="2688" spans="1:11">
      <c r="A2688" t="s">
        <v>2759</v>
      </c>
      <c r="B2688">
        <v>476020</v>
      </c>
      <c r="C2688" s="2" t="str">
        <f>"834-0AWHA"</f>
        <v>834-0AWHA</v>
      </c>
      <c r="D2688" t="s">
        <v>2783</v>
      </c>
      <c r="E2688" t="s">
        <v>4</v>
      </c>
      <c r="F2688">
        <v>12</v>
      </c>
      <c r="H2688" t="s">
        <v>5</v>
      </c>
      <c r="I2688" s="1">
        <v>94.07</v>
      </c>
      <c r="J2688" s="1">
        <v>89.36</v>
      </c>
      <c r="K2688" t="s">
        <v>6</v>
      </c>
    </row>
    <row r="2689" spans="1:12">
      <c r="A2689" t="s">
        <v>2759</v>
      </c>
      <c r="B2689">
        <v>476021</v>
      </c>
      <c r="C2689" s="2" t="str">
        <f>"834-1/2-2AWHA"</f>
        <v>834-1/2-2AWHA</v>
      </c>
      <c r="D2689" t="s">
        <v>2767</v>
      </c>
      <c r="E2689" t="s">
        <v>4</v>
      </c>
      <c r="F2689">
        <v>16</v>
      </c>
      <c r="H2689" t="s">
        <v>5</v>
      </c>
      <c r="I2689" s="1">
        <v>117.94</v>
      </c>
      <c r="J2689" s="1">
        <v>112.04</v>
      </c>
      <c r="K2689" t="s">
        <v>6</v>
      </c>
    </row>
    <row r="2690" spans="1:12">
      <c r="A2690" t="s">
        <v>2759</v>
      </c>
      <c r="B2690">
        <v>476022</v>
      </c>
      <c r="C2690" s="2" t="str">
        <f>"835-0AWHA"</f>
        <v>835-0AWHA</v>
      </c>
      <c r="D2690" t="s">
        <v>2784</v>
      </c>
      <c r="E2690" t="s">
        <v>4</v>
      </c>
      <c r="F2690">
        <v>13</v>
      </c>
      <c r="H2690" t="s">
        <v>5</v>
      </c>
      <c r="I2690" s="1">
        <v>81.2</v>
      </c>
      <c r="J2690" s="1">
        <v>77.14</v>
      </c>
      <c r="K2690" t="s">
        <v>6</v>
      </c>
    </row>
    <row r="2691" spans="1:12">
      <c r="A2691" t="s">
        <v>2759</v>
      </c>
      <c r="B2691">
        <v>476023</v>
      </c>
      <c r="C2691" s="2" t="str">
        <f>"839-0AWHA"</f>
        <v>839-0AWHA</v>
      </c>
      <c r="D2691" t="s">
        <v>2785</v>
      </c>
      <c r="E2691" t="s">
        <v>4</v>
      </c>
      <c r="F2691">
        <v>13</v>
      </c>
      <c r="H2691" t="s">
        <v>5</v>
      </c>
      <c r="I2691" s="1">
        <v>69.97</v>
      </c>
      <c r="J2691" s="1">
        <v>66.47</v>
      </c>
      <c r="K2691" t="s">
        <v>6</v>
      </c>
    </row>
    <row r="2692" spans="1:12">
      <c r="A2692" t="s">
        <v>2759</v>
      </c>
      <c r="B2692">
        <v>476034</v>
      </c>
      <c r="C2692" s="2" t="str">
        <f>"844-0AWHA"</f>
        <v>844-0AWHA</v>
      </c>
      <c r="D2692" t="s">
        <v>2765</v>
      </c>
      <c r="E2692" t="s">
        <v>4</v>
      </c>
      <c r="F2692">
        <v>10</v>
      </c>
      <c r="H2692" t="s">
        <v>5</v>
      </c>
      <c r="I2692" s="1">
        <v>94.42</v>
      </c>
      <c r="J2692" s="1">
        <v>89.7</v>
      </c>
      <c r="K2692" t="s">
        <v>6</v>
      </c>
    </row>
    <row r="2693" spans="1:12">
      <c r="A2693" t="s">
        <v>2759</v>
      </c>
      <c r="B2693">
        <v>476035</v>
      </c>
      <c r="C2693" s="2" t="str">
        <f>"852-0AWHA"</f>
        <v>852-0AWHA</v>
      </c>
      <c r="D2693" t="s">
        <v>2786</v>
      </c>
      <c r="E2693" t="s">
        <v>4</v>
      </c>
      <c r="F2693">
        <v>15</v>
      </c>
      <c r="H2693" t="s">
        <v>5</v>
      </c>
      <c r="I2693" s="1">
        <v>118.64</v>
      </c>
      <c r="J2693" s="1">
        <v>112.71</v>
      </c>
      <c r="K2693" t="s">
        <v>6</v>
      </c>
    </row>
    <row r="2694" spans="1:12">
      <c r="A2694" t="s">
        <v>2759</v>
      </c>
      <c r="B2694">
        <v>476036</v>
      </c>
      <c r="C2694" s="2" t="str">
        <f>"853-0AWHA"</f>
        <v>853-0AWHA</v>
      </c>
      <c r="D2694" t="s">
        <v>2787</v>
      </c>
      <c r="E2694" t="s">
        <v>4</v>
      </c>
      <c r="F2694">
        <v>19</v>
      </c>
      <c r="H2694" t="s">
        <v>5</v>
      </c>
      <c r="I2694" s="1">
        <v>137.36000000000001</v>
      </c>
      <c r="J2694" s="1">
        <v>130.49</v>
      </c>
      <c r="K2694" t="s">
        <v>6</v>
      </c>
    </row>
    <row r="2695" spans="1:12">
      <c r="A2695" t="s">
        <v>2759</v>
      </c>
      <c r="B2695">
        <v>476040</v>
      </c>
      <c r="C2695" s="2" t="str">
        <f>"864-0AWHA"</f>
        <v>864-0AWHA</v>
      </c>
      <c r="D2695" t="s">
        <v>2788</v>
      </c>
      <c r="E2695" t="s">
        <v>4</v>
      </c>
      <c r="F2695">
        <v>17</v>
      </c>
      <c r="H2695" t="s">
        <v>5</v>
      </c>
      <c r="I2695" s="1">
        <v>149.29</v>
      </c>
      <c r="J2695" s="1">
        <v>141.83000000000001</v>
      </c>
      <c r="K2695" t="s">
        <v>6</v>
      </c>
    </row>
    <row r="2696" spans="1:12">
      <c r="A2696" t="s">
        <v>2789</v>
      </c>
      <c r="B2696">
        <v>477425</v>
      </c>
      <c r="C2696" s="2" t="str">
        <f>"32182"</f>
        <v>32182</v>
      </c>
      <c r="D2696" t="s">
        <v>2790</v>
      </c>
      <c r="E2696" t="s">
        <v>4</v>
      </c>
      <c r="F2696">
        <v>23.2</v>
      </c>
      <c r="H2696" t="s">
        <v>5</v>
      </c>
      <c r="I2696" s="1">
        <v>84.01</v>
      </c>
      <c r="J2696" s="1">
        <v>70.010000000000005</v>
      </c>
      <c r="K2696" t="s">
        <v>6</v>
      </c>
    </row>
    <row r="2697" spans="1:12">
      <c r="A2697" t="s">
        <v>2789</v>
      </c>
      <c r="B2697">
        <v>529693</v>
      </c>
      <c r="C2697" s="2" t="str">
        <f>"37560"</f>
        <v>37560</v>
      </c>
      <c r="D2697" t="s">
        <v>2791</v>
      </c>
      <c r="E2697" t="s">
        <v>4</v>
      </c>
      <c r="F2697">
        <v>21</v>
      </c>
      <c r="H2697" t="s">
        <v>5</v>
      </c>
      <c r="I2697" s="1">
        <v>297.18</v>
      </c>
      <c r="J2697" s="1">
        <v>247.65</v>
      </c>
      <c r="K2697" t="s">
        <v>6</v>
      </c>
    </row>
    <row r="2698" spans="1:12">
      <c r="A2698" t="s">
        <v>2789</v>
      </c>
      <c r="B2698">
        <v>477558</v>
      </c>
      <c r="C2698" s="2" t="str">
        <f>"6126-HBB908"</f>
        <v>6126-HBB908</v>
      </c>
      <c r="D2698" t="s">
        <v>2792</v>
      </c>
      <c r="E2698" t="s">
        <v>4</v>
      </c>
      <c r="F2698">
        <v>7.2</v>
      </c>
      <c r="G2698">
        <v>1.8</v>
      </c>
      <c r="H2698" t="s">
        <v>153</v>
      </c>
      <c r="I2698" s="1">
        <v>44.46</v>
      </c>
      <c r="J2698" s="1">
        <v>37.049999999999997</v>
      </c>
      <c r="K2698" t="s">
        <v>21</v>
      </c>
      <c r="L2698" s="1">
        <v>40.76</v>
      </c>
    </row>
    <row r="2699" spans="1:12">
      <c r="A2699" t="s">
        <v>2789</v>
      </c>
      <c r="B2699">
        <v>381295</v>
      </c>
      <c r="C2699" s="2" t="str">
        <f>"78-06"</f>
        <v>78-06</v>
      </c>
      <c r="D2699" t="s">
        <v>2793</v>
      </c>
      <c r="E2699" t="s">
        <v>4</v>
      </c>
      <c r="F2699">
        <v>6.96</v>
      </c>
      <c r="G2699">
        <v>0.57999999999999996</v>
      </c>
      <c r="H2699" t="s">
        <v>106</v>
      </c>
      <c r="I2699" s="1">
        <v>10.92</v>
      </c>
      <c r="J2699" s="1">
        <v>9.1</v>
      </c>
      <c r="K2699" t="s">
        <v>457</v>
      </c>
      <c r="L2699" s="1">
        <v>10.01</v>
      </c>
    </row>
    <row r="2700" spans="1:12">
      <c r="A2700" t="s">
        <v>2789</v>
      </c>
      <c r="B2700">
        <v>381296</v>
      </c>
      <c r="C2700" s="2" t="str">
        <f>"78-08"</f>
        <v>78-08</v>
      </c>
      <c r="D2700" t="s">
        <v>2794</v>
      </c>
      <c r="E2700" t="s">
        <v>4</v>
      </c>
      <c r="F2700">
        <v>6.96</v>
      </c>
      <c r="G2700">
        <v>0.57999999999999996</v>
      </c>
      <c r="H2700" t="s">
        <v>106</v>
      </c>
      <c r="I2700" s="1">
        <v>10.92</v>
      </c>
      <c r="J2700" s="1">
        <v>9.1</v>
      </c>
      <c r="K2700" t="s">
        <v>457</v>
      </c>
      <c r="L2700" s="1">
        <v>10.01</v>
      </c>
    </row>
    <row r="2701" spans="1:12">
      <c r="A2701" t="s">
        <v>2789</v>
      </c>
      <c r="B2701">
        <v>381297</v>
      </c>
      <c r="C2701" s="2" t="str">
        <f>"78-10"</f>
        <v>78-10</v>
      </c>
      <c r="D2701" t="s">
        <v>2795</v>
      </c>
      <c r="E2701" t="s">
        <v>4</v>
      </c>
      <c r="F2701">
        <v>6.96</v>
      </c>
      <c r="G2701">
        <v>0.57999999999999996</v>
      </c>
      <c r="H2701" t="s">
        <v>106</v>
      </c>
      <c r="I2701" s="1">
        <v>10.92</v>
      </c>
      <c r="J2701" s="1">
        <v>9.1</v>
      </c>
      <c r="K2701" t="s">
        <v>457</v>
      </c>
      <c r="L2701" s="1">
        <v>10.01</v>
      </c>
    </row>
    <row r="2702" spans="1:12">
      <c r="A2702" t="s">
        <v>2789</v>
      </c>
      <c r="B2702">
        <v>381298</v>
      </c>
      <c r="C2702" s="2" t="str">
        <f>"78-12"</f>
        <v>78-12</v>
      </c>
      <c r="D2702" t="s">
        <v>2796</v>
      </c>
      <c r="E2702" t="s">
        <v>4</v>
      </c>
      <c r="F2702">
        <v>6.96</v>
      </c>
      <c r="G2702">
        <v>0.57999999999999996</v>
      </c>
      <c r="H2702" t="s">
        <v>106</v>
      </c>
      <c r="I2702" s="1">
        <v>10.92</v>
      </c>
      <c r="J2702" s="1">
        <v>9.1</v>
      </c>
      <c r="K2702" t="s">
        <v>457</v>
      </c>
      <c r="L2702" s="1">
        <v>10.01</v>
      </c>
    </row>
    <row r="2703" spans="1:12">
      <c r="A2703" t="s">
        <v>2789</v>
      </c>
      <c r="B2703">
        <v>381299</v>
      </c>
      <c r="C2703" s="2" t="str">
        <f>"78-16"</f>
        <v>78-16</v>
      </c>
      <c r="D2703" t="s">
        <v>2797</v>
      </c>
      <c r="E2703" t="s">
        <v>4</v>
      </c>
      <c r="F2703">
        <v>6.96</v>
      </c>
      <c r="G2703">
        <v>0.57999999999999996</v>
      </c>
      <c r="H2703" t="s">
        <v>106</v>
      </c>
      <c r="I2703" s="1">
        <v>10.92</v>
      </c>
      <c r="J2703" s="1">
        <v>9.1</v>
      </c>
      <c r="K2703" t="s">
        <v>457</v>
      </c>
      <c r="L2703" s="1">
        <v>10.01</v>
      </c>
    </row>
    <row r="2704" spans="1:12">
      <c r="A2704" t="s">
        <v>2789</v>
      </c>
      <c r="B2704">
        <v>381300</v>
      </c>
      <c r="C2704" s="2" t="str">
        <f>"78-20"</f>
        <v>78-20</v>
      </c>
      <c r="D2704" t="s">
        <v>2798</v>
      </c>
      <c r="E2704" t="s">
        <v>4</v>
      </c>
      <c r="F2704">
        <v>6.96</v>
      </c>
      <c r="G2704">
        <v>0.57999999999999996</v>
      </c>
      <c r="H2704" t="s">
        <v>106</v>
      </c>
      <c r="I2704" s="1">
        <v>10.92</v>
      </c>
      <c r="J2704" s="1">
        <v>9.1</v>
      </c>
      <c r="K2704" t="s">
        <v>457</v>
      </c>
      <c r="L2704" s="1">
        <v>10.01</v>
      </c>
    </row>
    <row r="2705" spans="1:12">
      <c r="A2705" t="s">
        <v>2789</v>
      </c>
      <c r="B2705">
        <v>381301</v>
      </c>
      <c r="C2705" s="2" t="str">
        <f>"78-24"</f>
        <v>78-24</v>
      </c>
      <c r="D2705" t="s">
        <v>2799</v>
      </c>
      <c r="E2705" t="s">
        <v>4</v>
      </c>
      <c r="F2705">
        <v>6.96</v>
      </c>
      <c r="G2705">
        <v>0.57999999999999996</v>
      </c>
      <c r="H2705" t="s">
        <v>106</v>
      </c>
      <c r="I2705" s="1">
        <v>10.92</v>
      </c>
      <c r="J2705" s="1">
        <v>9.1</v>
      </c>
      <c r="K2705" t="s">
        <v>457</v>
      </c>
      <c r="L2705" s="1">
        <v>10.01</v>
      </c>
    </row>
    <row r="2706" spans="1:12">
      <c r="A2706" t="s">
        <v>2789</v>
      </c>
      <c r="B2706">
        <v>381302</v>
      </c>
      <c r="C2706" s="2" t="str">
        <f>"78-30"</f>
        <v>78-30</v>
      </c>
      <c r="D2706" t="s">
        <v>2800</v>
      </c>
      <c r="E2706" t="s">
        <v>4</v>
      </c>
      <c r="F2706">
        <v>6.96</v>
      </c>
      <c r="G2706">
        <v>0.57999999999999996</v>
      </c>
      <c r="H2706" t="s">
        <v>106</v>
      </c>
      <c r="I2706" s="1">
        <v>10.92</v>
      </c>
      <c r="J2706" s="1">
        <v>9.1</v>
      </c>
      <c r="K2706" t="s">
        <v>457</v>
      </c>
      <c r="L2706" s="1">
        <v>10.01</v>
      </c>
    </row>
    <row r="2707" spans="1:12">
      <c r="A2707" t="s">
        <v>2789</v>
      </c>
      <c r="B2707">
        <v>381303</v>
      </c>
      <c r="C2707" s="2" t="str">
        <f>"78-40"</f>
        <v>78-40</v>
      </c>
      <c r="D2707" t="s">
        <v>2801</v>
      </c>
      <c r="E2707" t="s">
        <v>4</v>
      </c>
      <c r="F2707">
        <v>6.96</v>
      </c>
      <c r="G2707">
        <v>0.57999999999999996</v>
      </c>
      <c r="H2707" t="s">
        <v>106</v>
      </c>
      <c r="I2707" s="1">
        <v>10.92</v>
      </c>
      <c r="J2707" s="1">
        <v>9.1</v>
      </c>
      <c r="K2707" t="s">
        <v>457</v>
      </c>
      <c r="L2707" s="1">
        <v>10.01</v>
      </c>
    </row>
    <row r="2708" spans="1:12">
      <c r="A2708" t="s">
        <v>2789</v>
      </c>
      <c r="B2708">
        <v>429566</v>
      </c>
      <c r="C2708" s="2" t="str">
        <f>"80-06"</f>
        <v>80-06</v>
      </c>
      <c r="D2708" t="s">
        <v>2802</v>
      </c>
      <c r="E2708" t="s">
        <v>4</v>
      </c>
      <c r="F2708">
        <v>5.04</v>
      </c>
      <c r="G2708">
        <v>0.42</v>
      </c>
      <c r="H2708" t="s">
        <v>106</v>
      </c>
      <c r="I2708" s="1">
        <v>12.48</v>
      </c>
      <c r="J2708" s="1">
        <v>10.4</v>
      </c>
      <c r="K2708" t="s">
        <v>457</v>
      </c>
      <c r="L2708" s="1">
        <v>11.44</v>
      </c>
    </row>
    <row r="2709" spans="1:12">
      <c r="A2709" t="s">
        <v>2789</v>
      </c>
      <c r="B2709">
        <v>424398</v>
      </c>
      <c r="C2709" s="2" t="str">
        <f>"80-08"</f>
        <v>80-08</v>
      </c>
      <c r="D2709" t="s">
        <v>2803</v>
      </c>
      <c r="E2709" t="s">
        <v>4</v>
      </c>
      <c r="F2709">
        <v>5.16</v>
      </c>
      <c r="G2709">
        <v>0.43</v>
      </c>
      <c r="H2709" t="s">
        <v>106</v>
      </c>
      <c r="I2709" s="1">
        <v>12.48</v>
      </c>
      <c r="J2709" s="1">
        <v>10.4</v>
      </c>
      <c r="K2709" t="s">
        <v>457</v>
      </c>
      <c r="L2709" s="1">
        <v>11.44</v>
      </c>
    </row>
    <row r="2710" spans="1:12">
      <c r="A2710" t="s">
        <v>2789</v>
      </c>
      <c r="B2710">
        <v>424399</v>
      </c>
      <c r="C2710" s="2" t="str">
        <f>"80-10"</f>
        <v>80-10</v>
      </c>
      <c r="D2710" t="s">
        <v>2804</v>
      </c>
      <c r="E2710" t="s">
        <v>4</v>
      </c>
      <c r="F2710">
        <v>5.16</v>
      </c>
      <c r="G2710">
        <v>0.43</v>
      </c>
      <c r="H2710" t="s">
        <v>106</v>
      </c>
      <c r="I2710" s="1">
        <v>12.48</v>
      </c>
      <c r="J2710" s="1">
        <v>10.4</v>
      </c>
      <c r="K2710" t="s">
        <v>457</v>
      </c>
      <c r="L2710" s="1">
        <v>11.44</v>
      </c>
    </row>
    <row r="2711" spans="1:12">
      <c r="A2711" t="s">
        <v>2789</v>
      </c>
      <c r="B2711">
        <v>430219</v>
      </c>
      <c r="C2711" s="2" t="str">
        <f>"80-12"</f>
        <v>80-12</v>
      </c>
      <c r="D2711" t="s">
        <v>2805</v>
      </c>
      <c r="E2711" t="s">
        <v>4</v>
      </c>
      <c r="F2711">
        <v>5.04</v>
      </c>
      <c r="G2711">
        <v>0.42</v>
      </c>
      <c r="H2711" t="s">
        <v>106</v>
      </c>
      <c r="I2711" s="1">
        <v>12.48</v>
      </c>
      <c r="J2711" s="1">
        <v>10.4</v>
      </c>
      <c r="K2711" t="s">
        <v>457</v>
      </c>
      <c r="L2711" s="1">
        <v>11.44</v>
      </c>
    </row>
    <row r="2712" spans="1:12">
      <c r="A2712" t="s">
        <v>2789</v>
      </c>
      <c r="B2712">
        <v>424401</v>
      </c>
      <c r="C2712" s="2" t="str">
        <f>"80-16"</f>
        <v>80-16</v>
      </c>
      <c r="D2712" t="s">
        <v>2806</v>
      </c>
      <c r="E2712" t="s">
        <v>4</v>
      </c>
      <c r="F2712">
        <v>5.16</v>
      </c>
      <c r="G2712">
        <v>0.43</v>
      </c>
      <c r="H2712" t="s">
        <v>106</v>
      </c>
      <c r="I2712" s="1">
        <v>12.48</v>
      </c>
      <c r="J2712" s="1">
        <v>10.4</v>
      </c>
      <c r="K2712" t="s">
        <v>457</v>
      </c>
      <c r="L2712" s="1">
        <v>11.44</v>
      </c>
    </row>
    <row r="2713" spans="1:12">
      <c r="A2713" t="s">
        <v>2789</v>
      </c>
      <c r="B2713">
        <v>429567</v>
      </c>
      <c r="C2713" s="2" t="str">
        <f>"80-20"</f>
        <v>80-20</v>
      </c>
      <c r="D2713" t="s">
        <v>2807</v>
      </c>
      <c r="E2713" t="s">
        <v>4</v>
      </c>
      <c r="F2713">
        <v>5.04</v>
      </c>
      <c r="G2713">
        <v>0.42</v>
      </c>
      <c r="H2713" t="s">
        <v>106</v>
      </c>
      <c r="I2713" s="1">
        <v>12.48</v>
      </c>
      <c r="J2713" s="1">
        <v>10.4</v>
      </c>
      <c r="K2713" t="s">
        <v>457</v>
      </c>
      <c r="L2713" s="1">
        <v>11.44</v>
      </c>
    </row>
    <row r="2714" spans="1:12">
      <c r="A2714" t="s">
        <v>2789</v>
      </c>
      <c r="B2714">
        <v>429568</v>
      </c>
      <c r="C2714" s="2" t="str">
        <f>"80-24"</f>
        <v>80-24</v>
      </c>
      <c r="D2714" t="s">
        <v>2808</v>
      </c>
      <c r="E2714" t="s">
        <v>4</v>
      </c>
      <c r="F2714">
        <v>5.04</v>
      </c>
      <c r="G2714">
        <v>0.42</v>
      </c>
      <c r="H2714" t="s">
        <v>106</v>
      </c>
      <c r="I2714" s="1">
        <v>12.48</v>
      </c>
      <c r="J2714" s="1">
        <v>10.4</v>
      </c>
      <c r="K2714" t="s">
        <v>457</v>
      </c>
      <c r="L2714" s="1">
        <v>11.44</v>
      </c>
    </row>
    <row r="2715" spans="1:12">
      <c r="A2715" t="s">
        <v>2789</v>
      </c>
      <c r="B2715">
        <v>424402</v>
      </c>
      <c r="C2715" s="2" t="str">
        <f>"80-30"</f>
        <v>80-30</v>
      </c>
      <c r="D2715" t="s">
        <v>2809</v>
      </c>
      <c r="E2715" t="s">
        <v>4</v>
      </c>
      <c r="F2715">
        <v>5.16</v>
      </c>
      <c r="G2715">
        <v>0.43</v>
      </c>
      <c r="H2715" t="s">
        <v>106</v>
      </c>
      <c r="I2715" s="1">
        <v>12.48</v>
      </c>
      <c r="J2715" s="1">
        <v>10.4</v>
      </c>
      <c r="K2715" t="s">
        <v>457</v>
      </c>
      <c r="L2715" s="1">
        <v>11.44</v>
      </c>
    </row>
    <row r="2716" spans="1:12">
      <c r="A2716" t="s">
        <v>2789</v>
      </c>
      <c r="B2716">
        <v>424403</v>
      </c>
      <c r="C2716" s="2" t="str">
        <f>"80-40"</f>
        <v>80-40</v>
      </c>
      <c r="D2716" t="s">
        <v>2810</v>
      </c>
      <c r="E2716" t="s">
        <v>4</v>
      </c>
      <c r="F2716">
        <v>5.16</v>
      </c>
      <c r="G2716">
        <v>0.43</v>
      </c>
      <c r="H2716" t="s">
        <v>106</v>
      </c>
      <c r="I2716" s="1">
        <v>12.48</v>
      </c>
      <c r="J2716" s="1">
        <v>10.4</v>
      </c>
      <c r="K2716" t="s">
        <v>457</v>
      </c>
      <c r="L2716" s="1">
        <v>11.44</v>
      </c>
    </row>
    <row r="2717" spans="1:12">
      <c r="A2717" t="s">
        <v>2789</v>
      </c>
      <c r="B2717">
        <v>381277</v>
      </c>
      <c r="C2717" s="2" t="str">
        <f>"932"</f>
        <v>932</v>
      </c>
      <c r="D2717" t="s">
        <v>2811</v>
      </c>
      <c r="E2717" t="s">
        <v>4</v>
      </c>
      <c r="F2717">
        <v>14</v>
      </c>
      <c r="H2717" t="s">
        <v>5</v>
      </c>
      <c r="I2717" s="1">
        <v>255.84</v>
      </c>
      <c r="J2717" s="1">
        <v>213.2</v>
      </c>
      <c r="K2717" t="s">
        <v>6</v>
      </c>
    </row>
    <row r="2718" spans="1:12">
      <c r="A2718" t="s">
        <v>2789</v>
      </c>
      <c r="B2718">
        <v>485384</v>
      </c>
      <c r="C2718" s="2" t="str">
        <f>"98908"</f>
        <v>98908</v>
      </c>
      <c r="D2718" t="s">
        <v>2812</v>
      </c>
      <c r="E2718" t="s">
        <v>4</v>
      </c>
      <c r="F2718">
        <v>3.84</v>
      </c>
      <c r="G2718">
        <v>0.32</v>
      </c>
      <c r="H2718" t="s">
        <v>106</v>
      </c>
      <c r="I2718" s="1">
        <v>24.18</v>
      </c>
      <c r="J2718" s="1">
        <v>20.149999999999999</v>
      </c>
      <c r="K2718" t="s">
        <v>457</v>
      </c>
      <c r="L2718" s="1">
        <v>22.17</v>
      </c>
    </row>
    <row r="2719" spans="1:12">
      <c r="A2719" t="s">
        <v>2789</v>
      </c>
      <c r="B2719">
        <v>381281</v>
      </c>
      <c r="C2719" s="2" t="str">
        <f>"990"</f>
        <v>990</v>
      </c>
      <c r="D2719" t="s">
        <v>2813</v>
      </c>
      <c r="E2719" t="s">
        <v>4</v>
      </c>
      <c r="F2719">
        <v>25</v>
      </c>
      <c r="H2719" t="s">
        <v>5</v>
      </c>
      <c r="I2719" s="1">
        <v>1222.26</v>
      </c>
      <c r="J2719" s="1">
        <v>1018.55</v>
      </c>
      <c r="K2719" t="s">
        <v>6</v>
      </c>
    </row>
    <row r="2720" spans="1:12">
      <c r="A2720" t="s">
        <v>2789</v>
      </c>
      <c r="B2720">
        <v>398201</v>
      </c>
      <c r="C2720" s="2" t="str">
        <f>"CPM700"</f>
        <v>CPM700</v>
      </c>
      <c r="D2720" t="s">
        <v>2814</v>
      </c>
      <c r="E2720" t="s">
        <v>4</v>
      </c>
      <c r="F2720">
        <v>23.15</v>
      </c>
      <c r="H2720" t="s">
        <v>5</v>
      </c>
      <c r="I2720" s="1">
        <v>776.1</v>
      </c>
      <c r="J2720" s="1">
        <v>646.75</v>
      </c>
      <c r="K2720" t="s">
        <v>6</v>
      </c>
    </row>
    <row r="2721" spans="1:11">
      <c r="A2721" t="s">
        <v>2789</v>
      </c>
      <c r="B2721">
        <v>458207</v>
      </c>
      <c r="C2721" s="2" t="str">
        <f>"HBB250R"</f>
        <v>HBB250R</v>
      </c>
      <c r="D2721" t="s">
        <v>2815</v>
      </c>
      <c r="E2721" t="s">
        <v>4</v>
      </c>
      <c r="F2721">
        <v>8.5</v>
      </c>
      <c r="H2721" t="s">
        <v>5</v>
      </c>
      <c r="I2721" s="1">
        <v>172.38</v>
      </c>
      <c r="J2721" s="1">
        <v>143.65</v>
      </c>
      <c r="K2721" t="s">
        <v>6</v>
      </c>
    </row>
    <row r="2722" spans="1:11">
      <c r="A2722" t="s">
        <v>2789</v>
      </c>
      <c r="B2722">
        <v>458212</v>
      </c>
      <c r="C2722" s="2" t="str">
        <f>"HBB250SR"</f>
        <v>HBB250SR</v>
      </c>
      <c r="D2722" t="s">
        <v>2816</v>
      </c>
      <c r="E2722" t="s">
        <v>4</v>
      </c>
      <c r="F2722">
        <v>8.5</v>
      </c>
      <c r="H2722" t="s">
        <v>5</v>
      </c>
      <c r="I2722" s="1">
        <v>203.58</v>
      </c>
      <c r="J2722" s="1">
        <v>169.65</v>
      </c>
      <c r="K2722" t="s">
        <v>6</v>
      </c>
    </row>
    <row r="2723" spans="1:11">
      <c r="A2723" t="s">
        <v>2789</v>
      </c>
      <c r="B2723">
        <v>458206</v>
      </c>
      <c r="C2723" s="2" t="str">
        <f>"HBB908"</f>
        <v>HBB908</v>
      </c>
      <c r="D2723" t="s">
        <v>2816</v>
      </c>
      <c r="E2723" t="s">
        <v>4</v>
      </c>
      <c r="F2723">
        <v>8</v>
      </c>
      <c r="H2723" t="s">
        <v>5</v>
      </c>
      <c r="I2723" s="1">
        <v>113.88</v>
      </c>
      <c r="J2723" s="1">
        <v>94.9</v>
      </c>
      <c r="K2723" t="s">
        <v>6</v>
      </c>
    </row>
    <row r="2724" spans="1:11">
      <c r="A2724" t="s">
        <v>2789</v>
      </c>
      <c r="B2724">
        <v>460645</v>
      </c>
      <c r="C2724" s="2" t="str">
        <f>"HBH450R"</f>
        <v>HBH450R</v>
      </c>
      <c r="D2724" t="s">
        <v>2817</v>
      </c>
      <c r="E2724" t="s">
        <v>4</v>
      </c>
      <c r="F2724">
        <v>11.6</v>
      </c>
      <c r="H2724" t="s">
        <v>5</v>
      </c>
      <c r="I2724" s="1">
        <v>409.5</v>
      </c>
      <c r="J2724" s="1">
        <v>341.25</v>
      </c>
      <c r="K2724" t="s">
        <v>6</v>
      </c>
    </row>
    <row r="2725" spans="1:11">
      <c r="A2725" t="s">
        <v>2789</v>
      </c>
      <c r="B2725">
        <v>469723</v>
      </c>
      <c r="C2725" s="2" t="str">
        <f>"HMD200"</f>
        <v>HMD200</v>
      </c>
      <c r="D2725" t="s">
        <v>2818</v>
      </c>
      <c r="E2725" t="s">
        <v>4</v>
      </c>
      <c r="F2725">
        <v>18</v>
      </c>
      <c r="H2725" t="s">
        <v>5</v>
      </c>
      <c r="I2725" s="1">
        <v>422.76</v>
      </c>
      <c r="J2725" s="1">
        <v>352.3</v>
      </c>
      <c r="K2725" t="s">
        <v>6</v>
      </c>
    </row>
    <row r="2726" spans="1:11">
      <c r="A2726" t="s">
        <v>2789</v>
      </c>
      <c r="B2726">
        <v>469724</v>
      </c>
      <c r="C2726" s="2" t="str">
        <f>"HMD400"</f>
        <v>HMD400</v>
      </c>
      <c r="D2726" t="s">
        <v>2819</v>
      </c>
      <c r="E2726" t="s">
        <v>4</v>
      </c>
      <c r="F2726">
        <v>37</v>
      </c>
      <c r="H2726" t="s">
        <v>5</v>
      </c>
      <c r="I2726" s="1">
        <v>987.48</v>
      </c>
      <c r="J2726" s="1">
        <v>822.9</v>
      </c>
      <c r="K2726" t="s">
        <v>6</v>
      </c>
    </row>
    <row r="2727" spans="1:11">
      <c r="A2727" t="s">
        <v>2820</v>
      </c>
      <c r="B2727">
        <v>488648</v>
      </c>
      <c r="C2727" s="2" t="str">
        <f>"304340171"</f>
        <v>304340171</v>
      </c>
      <c r="D2727" t="s">
        <v>2821</v>
      </c>
      <c r="E2727" t="s">
        <v>4</v>
      </c>
      <c r="F2727">
        <v>10.49</v>
      </c>
      <c r="H2727" t="s">
        <v>5</v>
      </c>
      <c r="I2727" s="1">
        <v>39.69</v>
      </c>
      <c r="J2727" s="1">
        <v>38.770000000000003</v>
      </c>
      <c r="K2727" t="s">
        <v>6</v>
      </c>
    </row>
    <row r="2728" spans="1:11">
      <c r="A2728" t="s">
        <v>2820</v>
      </c>
      <c r="B2728">
        <v>488649</v>
      </c>
      <c r="C2728" s="2" t="str">
        <f>"304340172"</f>
        <v>304340172</v>
      </c>
      <c r="D2728" t="s">
        <v>2822</v>
      </c>
      <c r="E2728" t="s">
        <v>4</v>
      </c>
      <c r="F2728">
        <v>11.24</v>
      </c>
      <c r="H2728" t="s">
        <v>5</v>
      </c>
      <c r="I2728" s="1">
        <v>39.69</v>
      </c>
      <c r="J2728" s="1">
        <v>38.770000000000003</v>
      </c>
      <c r="K2728" t="s">
        <v>6</v>
      </c>
    </row>
    <row r="2729" spans="1:11">
      <c r="A2729" t="s">
        <v>2820</v>
      </c>
      <c r="B2729">
        <v>488650</v>
      </c>
      <c r="C2729" s="2" t="str">
        <f>"304340173"</f>
        <v>304340173</v>
      </c>
      <c r="D2729" t="s">
        <v>2823</v>
      </c>
      <c r="E2729" t="s">
        <v>4</v>
      </c>
      <c r="F2729">
        <v>12.03</v>
      </c>
      <c r="H2729" t="s">
        <v>5</v>
      </c>
      <c r="I2729" s="1">
        <v>39.69</v>
      </c>
      <c r="J2729" s="1">
        <v>38.770000000000003</v>
      </c>
      <c r="K2729" t="s">
        <v>6</v>
      </c>
    </row>
    <row r="2730" spans="1:11">
      <c r="A2730" t="s">
        <v>2820</v>
      </c>
      <c r="B2730">
        <v>488651</v>
      </c>
      <c r="C2730" s="2" t="str">
        <f>"304340174"</f>
        <v>304340174</v>
      </c>
      <c r="D2730" t="s">
        <v>2824</v>
      </c>
      <c r="E2730" t="s">
        <v>4</v>
      </c>
      <c r="F2730">
        <v>12.97</v>
      </c>
      <c r="H2730" t="s">
        <v>5</v>
      </c>
      <c r="I2730" s="1">
        <v>39.69</v>
      </c>
      <c r="J2730" s="1">
        <v>38.770000000000003</v>
      </c>
      <c r="K2730" t="s">
        <v>6</v>
      </c>
    </row>
    <row r="2731" spans="1:11">
      <c r="A2731" t="s">
        <v>2820</v>
      </c>
      <c r="B2731">
        <v>484340</v>
      </c>
      <c r="C2731" s="2" t="str">
        <f>"304340181"</f>
        <v>304340181</v>
      </c>
      <c r="D2731" t="s">
        <v>2825</v>
      </c>
      <c r="E2731" t="s">
        <v>4</v>
      </c>
      <c r="F2731">
        <v>10.59</v>
      </c>
      <c r="H2731" t="s">
        <v>5</v>
      </c>
      <c r="I2731" s="1">
        <v>40.53</v>
      </c>
      <c r="J2731" s="1">
        <v>39.590000000000003</v>
      </c>
      <c r="K2731" t="s">
        <v>6</v>
      </c>
    </row>
    <row r="2732" spans="1:11">
      <c r="A2732" t="s">
        <v>2820</v>
      </c>
      <c r="B2732">
        <v>484341</v>
      </c>
      <c r="C2732" s="2" t="str">
        <f>"304340182"</f>
        <v>304340182</v>
      </c>
      <c r="D2732" t="s">
        <v>2826</v>
      </c>
      <c r="E2732" t="s">
        <v>4</v>
      </c>
      <c r="F2732">
        <v>11.25</v>
      </c>
      <c r="H2732" t="s">
        <v>5</v>
      </c>
      <c r="I2732" s="1">
        <v>40.53</v>
      </c>
      <c r="J2732" s="1">
        <v>39.590000000000003</v>
      </c>
      <c r="K2732" t="s">
        <v>6</v>
      </c>
    </row>
    <row r="2733" spans="1:11">
      <c r="A2733" t="s">
        <v>2820</v>
      </c>
      <c r="B2733">
        <v>484342</v>
      </c>
      <c r="C2733" s="2" t="str">
        <f>"304340183"</f>
        <v>304340183</v>
      </c>
      <c r="D2733" t="s">
        <v>2827</v>
      </c>
      <c r="E2733" t="s">
        <v>4</v>
      </c>
      <c r="F2733">
        <v>12.2</v>
      </c>
      <c r="H2733" t="s">
        <v>5</v>
      </c>
      <c r="I2733" s="1">
        <v>40.53</v>
      </c>
      <c r="J2733" s="1">
        <v>39.590000000000003</v>
      </c>
      <c r="K2733" t="s">
        <v>6</v>
      </c>
    </row>
    <row r="2734" spans="1:11">
      <c r="A2734" t="s">
        <v>2820</v>
      </c>
      <c r="B2734">
        <v>484343</v>
      </c>
      <c r="C2734" s="2" t="str">
        <f>"304340184"</f>
        <v>304340184</v>
      </c>
      <c r="D2734" t="s">
        <v>2828</v>
      </c>
      <c r="E2734" t="s">
        <v>4</v>
      </c>
      <c r="F2734">
        <v>13.13</v>
      </c>
      <c r="H2734" t="s">
        <v>5</v>
      </c>
      <c r="I2734" s="1">
        <v>40.53</v>
      </c>
      <c r="J2734" s="1">
        <v>39.590000000000003</v>
      </c>
      <c r="K2734" t="s">
        <v>6</v>
      </c>
    </row>
    <row r="2735" spans="1:11">
      <c r="A2735" t="s">
        <v>2820</v>
      </c>
      <c r="B2735">
        <v>488673</v>
      </c>
      <c r="C2735" s="2" t="str">
        <f>"304750131"</f>
        <v>304750131</v>
      </c>
      <c r="D2735" t="s">
        <v>2829</v>
      </c>
      <c r="E2735" t="s">
        <v>4</v>
      </c>
      <c r="F2735">
        <v>11.58</v>
      </c>
      <c r="H2735" t="s">
        <v>5</v>
      </c>
      <c r="I2735" s="1">
        <v>55.88</v>
      </c>
      <c r="J2735" s="1">
        <v>54.59</v>
      </c>
      <c r="K2735" t="s">
        <v>6</v>
      </c>
    </row>
    <row r="2736" spans="1:11">
      <c r="A2736" t="s">
        <v>2820</v>
      </c>
      <c r="B2736">
        <v>488674</v>
      </c>
      <c r="C2736" s="2" t="str">
        <f>"304750132"</f>
        <v>304750132</v>
      </c>
      <c r="D2736" t="s">
        <v>2830</v>
      </c>
      <c r="E2736" t="s">
        <v>4</v>
      </c>
      <c r="F2736">
        <v>12.63</v>
      </c>
      <c r="H2736" t="s">
        <v>5</v>
      </c>
      <c r="I2736" s="1">
        <v>55.88</v>
      </c>
      <c r="J2736" s="1">
        <v>54.59</v>
      </c>
      <c r="K2736" t="s">
        <v>6</v>
      </c>
    </row>
    <row r="2737" spans="1:11">
      <c r="A2737" t="s">
        <v>2820</v>
      </c>
      <c r="B2737">
        <v>488675</v>
      </c>
      <c r="C2737" s="2" t="str">
        <f>"304750133"</f>
        <v>304750133</v>
      </c>
      <c r="D2737" t="s">
        <v>2831</v>
      </c>
      <c r="E2737" t="s">
        <v>4</v>
      </c>
      <c r="F2737">
        <v>13.92</v>
      </c>
      <c r="H2737" t="s">
        <v>5</v>
      </c>
      <c r="I2737" s="1">
        <v>55.88</v>
      </c>
      <c r="J2737" s="1">
        <v>54.59</v>
      </c>
      <c r="K2737" t="s">
        <v>6</v>
      </c>
    </row>
    <row r="2738" spans="1:11">
      <c r="A2738" t="s">
        <v>2820</v>
      </c>
      <c r="B2738">
        <v>488677</v>
      </c>
      <c r="C2738" s="2" t="str">
        <f>"304750134"</f>
        <v>304750134</v>
      </c>
      <c r="D2738" t="s">
        <v>2832</v>
      </c>
      <c r="E2738" t="s">
        <v>4</v>
      </c>
      <c r="F2738">
        <v>14.75</v>
      </c>
      <c r="H2738" t="s">
        <v>5</v>
      </c>
      <c r="I2738" s="1">
        <v>55.88</v>
      </c>
      <c r="J2738" s="1">
        <v>54.59</v>
      </c>
      <c r="K2738" t="s">
        <v>6</v>
      </c>
    </row>
    <row r="2739" spans="1:11">
      <c r="A2739" t="s">
        <v>2820</v>
      </c>
      <c r="B2739">
        <v>488678</v>
      </c>
      <c r="C2739" s="2" t="str">
        <f>"304750141"</f>
        <v>304750141</v>
      </c>
      <c r="D2739" t="s">
        <v>2833</v>
      </c>
      <c r="E2739" t="s">
        <v>4</v>
      </c>
      <c r="F2739">
        <v>12.84</v>
      </c>
      <c r="H2739" t="s">
        <v>5</v>
      </c>
      <c r="I2739" s="1">
        <v>61.89</v>
      </c>
      <c r="J2739" s="1">
        <v>60.45</v>
      </c>
      <c r="K2739" t="s">
        <v>6</v>
      </c>
    </row>
    <row r="2740" spans="1:11">
      <c r="A2740" t="s">
        <v>2820</v>
      </c>
      <c r="B2740">
        <v>488679</v>
      </c>
      <c r="C2740" s="2" t="str">
        <f>"304750142"</f>
        <v>304750142</v>
      </c>
      <c r="D2740" t="s">
        <v>2834</v>
      </c>
      <c r="E2740" t="s">
        <v>4</v>
      </c>
      <c r="F2740">
        <v>13.11</v>
      </c>
      <c r="H2740" t="s">
        <v>5</v>
      </c>
      <c r="I2740" s="1">
        <v>61.89</v>
      </c>
      <c r="J2740" s="1">
        <v>60.45</v>
      </c>
      <c r="K2740" t="s">
        <v>6</v>
      </c>
    </row>
    <row r="2741" spans="1:11">
      <c r="A2741" t="s">
        <v>2820</v>
      </c>
      <c r="B2741">
        <v>488680</v>
      </c>
      <c r="C2741" s="2" t="str">
        <f>"304750143"</f>
        <v>304750143</v>
      </c>
      <c r="D2741" t="s">
        <v>2835</v>
      </c>
      <c r="E2741" t="s">
        <v>4</v>
      </c>
      <c r="F2741">
        <v>13.98</v>
      </c>
      <c r="H2741" t="s">
        <v>5</v>
      </c>
      <c r="I2741" s="1">
        <v>61.89</v>
      </c>
      <c r="J2741" s="1">
        <v>60.45</v>
      </c>
      <c r="K2741" t="s">
        <v>6</v>
      </c>
    </row>
    <row r="2742" spans="1:11">
      <c r="A2742" t="s">
        <v>2820</v>
      </c>
      <c r="B2742">
        <v>488681</v>
      </c>
      <c r="C2742" s="2" t="str">
        <f>"304750144"</f>
        <v>304750144</v>
      </c>
      <c r="D2742" t="s">
        <v>2836</v>
      </c>
      <c r="E2742" t="s">
        <v>4</v>
      </c>
      <c r="F2742">
        <v>14.82</v>
      </c>
      <c r="H2742" t="s">
        <v>5</v>
      </c>
      <c r="I2742" s="1">
        <v>61.89</v>
      </c>
      <c r="J2742" s="1">
        <v>60.45</v>
      </c>
      <c r="K2742" t="s">
        <v>6</v>
      </c>
    </row>
    <row r="2743" spans="1:11">
      <c r="A2743" t="s">
        <v>2837</v>
      </c>
      <c r="B2743">
        <v>498535</v>
      </c>
      <c r="C2743" s="2" t="str">
        <f>"303111211"</f>
        <v>303111211</v>
      </c>
      <c r="D2743" t="s">
        <v>2838</v>
      </c>
      <c r="E2743" t="s">
        <v>4</v>
      </c>
      <c r="F2743">
        <v>3.11</v>
      </c>
      <c r="H2743" t="s">
        <v>5</v>
      </c>
      <c r="I2743" s="1">
        <v>30.65</v>
      </c>
      <c r="J2743" s="1">
        <v>30.21</v>
      </c>
      <c r="K2743" t="s">
        <v>6</v>
      </c>
    </row>
    <row r="2744" spans="1:11">
      <c r="A2744" t="s">
        <v>2837</v>
      </c>
      <c r="B2744">
        <v>498537</v>
      </c>
      <c r="C2744" s="2" t="str">
        <f>"303111212"</f>
        <v>303111212</v>
      </c>
      <c r="D2744" t="s">
        <v>2839</v>
      </c>
      <c r="E2744" t="s">
        <v>4</v>
      </c>
      <c r="F2744">
        <v>3.35</v>
      </c>
      <c r="H2744" t="s">
        <v>5</v>
      </c>
      <c r="I2744" s="1">
        <v>30.65</v>
      </c>
      <c r="J2744" s="1">
        <v>30.21</v>
      </c>
      <c r="K2744" t="s">
        <v>6</v>
      </c>
    </row>
    <row r="2745" spans="1:11">
      <c r="A2745" t="s">
        <v>2837</v>
      </c>
      <c r="B2745">
        <v>498539</v>
      </c>
      <c r="C2745" s="2" t="str">
        <f>"303111213"</f>
        <v>303111213</v>
      </c>
      <c r="D2745" t="s">
        <v>2840</v>
      </c>
      <c r="E2745" t="s">
        <v>4</v>
      </c>
      <c r="F2745">
        <v>4.3</v>
      </c>
      <c r="H2745" t="s">
        <v>5</v>
      </c>
      <c r="I2745" s="1">
        <v>30.65</v>
      </c>
      <c r="J2745" s="1">
        <v>30.21</v>
      </c>
      <c r="K2745" t="s">
        <v>6</v>
      </c>
    </row>
    <row r="2746" spans="1:11">
      <c r="A2746" t="s">
        <v>2837</v>
      </c>
      <c r="B2746">
        <v>498542</v>
      </c>
      <c r="C2746" s="2" t="str">
        <f>"303111214"</f>
        <v>303111214</v>
      </c>
      <c r="D2746" t="s">
        <v>2841</v>
      </c>
      <c r="E2746" t="s">
        <v>4</v>
      </c>
      <c r="F2746">
        <v>4.66</v>
      </c>
      <c r="H2746" t="s">
        <v>5</v>
      </c>
      <c r="I2746" s="1">
        <v>30.65</v>
      </c>
      <c r="J2746" s="1">
        <v>30.21</v>
      </c>
      <c r="K2746" t="s">
        <v>6</v>
      </c>
    </row>
    <row r="2747" spans="1:11">
      <c r="A2747" t="s">
        <v>2837</v>
      </c>
      <c r="B2747">
        <v>439503</v>
      </c>
      <c r="C2747" s="2" t="str">
        <f>"303120273"</f>
        <v>303120273</v>
      </c>
      <c r="D2747" t="s">
        <v>2842</v>
      </c>
      <c r="E2747" t="s">
        <v>4</v>
      </c>
      <c r="F2747">
        <v>2.71</v>
      </c>
      <c r="H2747" t="s">
        <v>5</v>
      </c>
      <c r="I2747" s="1">
        <v>57.07</v>
      </c>
      <c r="J2747" s="1">
        <v>56.25</v>
      </c>
      <c r="K2747" t="s">
        <v>6</v>
      </c>
    </row>
    <row r="2748" spans="1:11">
      <c r="A2748" t="s">
        <v>2837</v>
      </c>
      <c r="B2748">
        <v>451654</v>
      </c>
      <c r="C2748" s="2" t="str">
        <f>"303362365"</f>
        <v>303362365</v>
      </c>
      <c r="D2748" t="s">
        <v>2843</v>
      </c>
      <c r="E2748" t="s">
        <v>4</v>
      </c>
      <c r="F2748">
        <v>4.32</v>
      </c>
      <c r="H2748" t="s">
        <v>5</v>
      </c>
      <c r="I2748" s="1">
        <v>53.13</v>
      </c>
      <c r="J2748" s="1">
        <v>52.37</v>
      </c>
      <c r="K2748" t="s">
        <v>6</v>
      </c>
    </row>
    <row r="2749" spans="1:11">
      <c r="A2749" t="s">
        <v>2837</v>
      </c>
      <c r="B2749">
        <v>436936</v>
      </c>
      <c r="C2749" s="2" t="str">
        <f>"303363007"</f>
        <v>303363007</v>
      </c>
      <c r="D2749" t="s">
        <v>2844</v>
      </c>
      <c r="E2749" t="s">
        <v>4</v>
      </c>
      <c r="F2749">
        <v>15.3</v>
      </c>
      <c r="H2749" t="s">
        <v>5</v>
      </c>
      <c r="I2749" s="1">
        <v>93.29</v>
      </c>
      <c r="J2749" s="1">
        <v>91.95</v>
      </c>
      <c r="K2749" t="s">
        <v>6</v>
      </c>
    </row>
    <row r="2750" spans="1:11">
      <c r="A2750" t="s">
        <v>2837</v>
      </c>
      <c r="B2750">
        <v>436937</v>
      </c>
      <c r="C2750" s="2" t="str">
        <f>"303363008"</f>
        <v>303363008</v>
      </c>
      <c r="D2750" t="s">
        <v>2845</v>
      </c>
      <c r="E2750" t="s">
        <v>4</v>
      </c>
      <c r="F2750">
        <v>13.95</v>
      </c>
      <c r="H2750" t="s">
        <v>5</v>
      </c>
      <c r="I2750" s="1">
        <v>93.28</v>
      </c>
      <c r="J2750" s="1">
        <v>91.94</v>
      </c>
      <c r="K2750" t="s">
        <v>6</v>
      </c>
    </row>
    <row r="2751" spans="1:11">
      <c r="A2751" t="s">
        <v>2837</v>
      </c>
      <c r="B2751">
        <v>436938</v>
      </c>
      <c r="C2751" s="2" t="str">
        <f>"303363107"</f>
        <v>303363107</v>
      </c>
      <c r="D2751" t="s">
        <v>2846</v>
      </c>
      <c r="E2751" t="s">
        <v>4</v>
      </c>
      <c r="F2751">
        <v>18.53</v>
      </c>
      <c r="H2751" t="s">
        <v>5</v>
      </c>
      <c r="I2751" s="1">
        <v>133.87</v>
      </c>
      <c r="J2751" s="1">
        <v>131.94999999999999</v>
      </c>
      <c r="K2751" t="s">
        <v>6</v>
      </c>
    </row>
    <row r="2752" spans="1:11">
      <c r="A2752" t="s">
        <v>2837</v>
      </c>
      <c r="B2752">
        <v>436939</v>
      </c>
      <c r="C2752" s="2" t="str">
        <f>"303363108"</f>
        <v>303363108</v>
      </c>
      <c r="D2752" t="s">
        <v>2847</v>
      </c>
      <c r="E2752" t="s">
        <v>4</v>
      </c>
      <c r="F2752">
        <v>27.16</v>
      </c>
      <c r="H2752" t="s">
        <v>5</v>
      </c>
      <c r="I2752" s="1">
        <v>133.87</v>
      </c>
      <c r="J2752" s="1">
        <v>131.94999999999999</v>
      </c>
      <c r="K2752" t="s">
        <v>6</v>
      </c>
    </row>
    <row r="2753" spans="1:11">
      <c r="A2753" t="s">
        <v>2837</v>
      </c>
      <c r="B2753">
        <v>487902</v>
      </c>
      <c r="C2753" s="2" t="str">
        <f>"303363182"</f>
        <v>303363182</v>
      </c>
      <c r="D2753" t="s">
        <v>2848</v>
      </c>
      <c r="E2753" t="s">
        <v>4</v>
      </c>
      <c r="F2753">
        <v>5.26</v>
      </c>
      <c r="H2753" t="s">
        <v>5</v>
      </c>
      <c r="I2753" s="1">
        <v>46.94</v>
      </c>
      <c r="J2753" s="1">
        <v>46.27</v>
      </c>
      <c r="K2753" t="s">
        <v>6</v>
      </c>
    </row>
    <row r="2754" spans="1:11">
      <c r="A2754" t="s">
        <v>2837</v>
      </c>
      <c r="B2754">
        <v>487900</v>
      </c>
      <c r="C2754" s="2" t="str">
        <f>"303363183"</f>
        <v>303363183</v>
      </c>
      <c r="D2754" t="s">
        <v>2849</v>
      </c>
      <c r="E2754" t="s">
        <v>4</v>
      </c>
      <c r="F2754">
        <v>6.37</v>
      </c>
      <c r="H2754" t="s">
        <v>5</v>
      </c>
      <c r="I2754" s="1">
        <v>46.94</v>
      </c>
      <c r="J2754" s="1">
        <v>46.27</v>
      </c>
      <c r="K2754" t="s">
        <v>6</v>
      </c>
    </row>
    <row r="2755" spans="1:11">
      <c r="A2755" t="s">
        <v>2837</v>
      </c>
      <c r="B2755">
        <v>465027</v>
      </c>
      <c r="C2755" s="2" t="str">
        <f>"303363185"</f>
        <v>303363185</v>
      </c>
      <c r="D2755" t="s">
        <v>2850</v>
      </c>
      <c r="E2755" t="s">
        <v>4</v>
      </c>
      <c r="F2755">
        <v>5.29</v>
      </c>
      <c r="H2755" t="s">
        <v>5</v>
      </c>
      <c r="I2755" s="1">
        <v>46.94</v>
      </c>
      <c r="J2755" s="1">
        <v>46.27</v>
      </c>
      <c r="K2755" t="s">
        <v>6</v>
      </c>
    </row>
    <row r="2756" spans="1:11">
      <c r="A2756" t="s">
        <v>2837</v>
      </c>
      <c r="B2756">
        <v>439613</v>
      </c>
      <c r="C2756" s="2" t="str">
        <f>"303363211"</f>
        <v>303363211</v>
      </c>
      <c r="D2756" t="s">
        <v>2851</v>
      </c>
      <c r="E2756" t="s">
        <v>4</v>
      </c>
      <c r="F2756">
        <v>4.6399999999999997</v>
      </c>
      <c r="H2756" t="s">
        <v>5</v>
      </c>
      <c r="I2756" s="1">
        <v>42.54</v>
      </c>
      <c r="J2756" s="1">
        <v>41.93</v>
      </c>
      <c r="K2756" t="s">
        <v>6</v>
      </c>
    </row>
    <row r="2757" spans="1:11">
      <c r="A2757" t="s">
        <v>2837</v>
      </c>
      <c r="B2757">
        <v>439560</v>
      </c>
      <c r="C2757" s="2" t="str">
        <f>"303363212"</f>
        <v>303363212</v>
      </c>
      <c r="D2757" t="s">
        <v>2852</v>
      </c>
      <c r="E2757" t="s">
        <v>4</v>
      </c>
      <c r="F2757">
        <v>4.72</v>
      </c>
      <c r="H2757" t="s">
        <v>5</v>
      </c>
      <c r="I2757" s="1">
        <v>42.54</v>
      </c>
      <c r="J2757" s="1">
        <v>41.93</v>
      </c>
      <c r="K2757" t="s">
        <v>6</v>
      </c>
    </row>
    <row r="2758" spans="1:11">
      <c r="A2758" t="s">
        <v>2837</v>
      </c>
      <c r="B2758">
        <v>439559</v>
      </c>
      <c r="C2758" s="2" t="str">
        <f>"303363213"</f>
        <v>303363213</v>
      </c>
      <c r="D2758" t="s">
        <v>2853</v>
      </c>
      <c r="E2758" t="s">
        <v>4</v>
      </c>
      <c r="F2758">
        <v>5.09</v>
      </c>
      <c r="H2758" t="s">
        <v>5</v>
      </c>
      <c r="I2758" s="1">
        <v>42.54</v>
      </c>
      <c r="J2758" s="1">
        <v>41.93</v>
      </c>
      <c r="K2758" t="s">
        <v>6</v>
      </c>
    </row>
    <row r="2759" spans="1:11">
      <c r="A2759" t="s">
        <v>2837</v>
      </c>
      <c r="B2759">
        <v>565855</v>
      </c>
      <c r="C2759" s="2" t="str">
        <f>"303363291"</f>
        <v>303363291</v>
      </c>
      <c r="D2759" t="s">
        <v>2854</v>
      </c>
      <c r="E2759" t="s">
        <v>4</v>
      </c>
      <c r="F2759">
        <v>4.38</v>
      </c>
      <c r="H2759" t="s">
        <v>5</v>
      </c>
      <c r="I2759" s="1">
        <v>24.78</v>
      </c>
      <c r="J2759" s="1">
        <v>24.43</v>
      </c>
      <c r="K2759" t="s">
        <v>6</v>
      </c>
    </row>
    <row r="2760" spans="1:11">
      <c r="A2760" t="s">
        <v>2837</v>
      </c>
      <c r="B2760">
        <v>565856</v>
      </c>
      <c r="C2760" s="2" t="str">
        <f>"303363292"</f>
        <v>303363292</v>
      </c>
      <c r="D2760" t="s">
        <v>2855</v>
      </c>
      <c r="E2760" t="s">
        <v>4</v>
      </c>
      <c r="F2760">
        <v>4.74</v>
      </c>
      <c r="H2760" t="s">
        <v>5</v>
      </c>
      <c r="I2760" s="1">
        <v>24.78</v>
      </c>
      <c r="J2760" s="1">
        <v>24.43</v>
      </c>
      <c r="K2760" t="s">
        <v>6</v>
      </c>
    </row>
    <row r="2761" spans="1:11">
      <c r="A2761" t="s">
        <v>2837</v>
      </c>
      <c r="B2761">
        <v>565857</v>
      </c>
      <c r="C2761" s="2" t="str">
        <f>"303363293"</f>
        <v>303363293</v>
      </c>
      <c r="D2761" t="s">
        <v>2856</v>
      </c>
      <c r="E2761" t="s">
        <v>4</v>
      </c>
      <c r="F2761">
        <v>5.25</v>
      </c>
      <c r="H2761" t="s">
        <v>5</v>
      </c>
      <c r="I2761" s="1">
        <v>24.78</v>
      </c>
      <c r="J2761" s="1">
        <v>24.43</v>
      </c>
      <c r="K2761" t="s">
        <v>6</v>
      </c>
    </row>
    <row r="2762" spans="1:11">
      <c r="A2762" t="s">
        <v>2837</v>
      </c>
      <c r="B2762">
        <v>565858</v>
      </c>
      <c r="C2762" s="2" t="str">
        <f>"303363294"</f>
        <v>303363294</v>
      </c>
      <c r="D2762" t="s">
        <v>2857</v>
      </c>
      <c r="E2762" t="s">
        <v>4</v>
      </c>
      <c r="F2762">
        <v>5.6</v>
      </c>
      <c r="H2762" t="s">
        <v>5</v>
      </c>
      <c r="I2762" s="1">
        <v>24.78</v>
      </c>
      <c r="J2762" s="1">
        <v>24.43</v>
      </c>
      <c r="K2762" t="s">
        <v>6</v>
      </c>
    </row>
    <row r="2763" spans="1:11">
      <c r="A2763" t="s">
        <v>2837</v>
      </c>
      <c r="B2763">
        <v>479889</v>
      </c>
      <c r="C2763" s="2" t="str">
        <f>"303400403"</f>
        <v>303400403</v>
      </c>
      <c r="D2763" t="s">
        <v>2858</v>
      </c>
      <c r="E2763" t="s">
        <v>4</v>
      </c>
      <c r="F2763">
        <v>2.4</v>
      </c>
      <c r="H2763" t="s">
        <v>5</v>
      </c>
      <c r="I2763" s="1">
        <v>29.55</v>
      </c>
      <c r="J2763" s="1">
        <v>29.12</v>
      </c>
      <c r="K2763" t="s">
        <v>6</v>
      </c>
    </row>
    <row r="2764" spans="1:11">
      <c r="A2764" t="s">
        <v>2837</v>
      </c>
      <c r="B2764">
        <v>455381</v>
      </c>
      <c r="C2764" s="2" t="str">
        <f>"303400532"</f>
        <v>303400532</v>
      </c>
      <c r="D2764" t="s">
        <v>2859</v>
      </c>
      <c r="E2764" t="s">
        <v>4</v>
      </c>
      <c r="F2764">
        <v>8.81</v>
      </c>
      <c r="H2764" t="s">
        <v>5</v>
      </c>
      <c r="I2764" s="1">
        <v>70.98</v>
      </c>
      <c r="J2764" s="1">
        <v>69.959999999999994</v>
      </c>
      <c r="K2764" t="s">
        <v>6</v>
      </c>
    </row>
    <row r="2765" spans="1:11">
      <c r="A2765" t="s">
        <v>2837</v>
      </c>
      <c r="B2765">
        <v>456794</v>
      </c>
      <c r="C2765" s="2" t="str">
        <f>"303400533"</f>
        <v>303400533</v>
      </c>
      <c r="D2765" t="s">
        <v>2860</v>
      </c>
      <c r="E2765" t="s">
        <v>4</v>
      </c>
      <c r="F2765">
        <v>9.6199999999999992</v>
      </c>
      <c r="H2765" t="s">
        <v>5</v>
      </c>
      <c r="I2765" s="1">
        <v>70.98</v>
      </c>
      <c r="J2765" s="1">
        <v>69.959999999999994</v>
      </c>
      <c r="K2765" t="s">
        <v>6</v>
      </c>
    </row>
    <row r="2766" spans="1:11">
      <c r="A2766" t="s">
        <v>2837</v>
      </c>
      <c r="B2766">
        <v>438750</v>
      </c>
      <c r="C2766" s="2" t="str">
        <f>"303578501"</f>
        <v>303578501</v>
      </c>
      <c r="D2766" t="s">
        <v>2861</v>
      </c>
      <c r="E2766" t="s">
        <v>4</v>
      </c>
      <c r="F2766">
        <v>6.98</v>
      </c>
      <c r="H2766" t="s">
        <v>5</v>
      </c>
      <c r="I2766" s="1">
        <v>48.1</v>
      </c>
      <c r="J2766" s="1">
        <v>47.41</v>
      </c>
      <c r="K2766" t="s">
        <v>6</v>
      </c>
    </row>
    <row r="2767" spans="1:11">
      <c r="A2767" t="s">
        <v>2837</v>
      </c>
      <c r="B2767">
        <v>438727</v>
      </c>
      <c r="C2767" s="2" t="str">
        <f>"303578502"</f>
        <v>303578502</v>
      </c>
      <c r="D2767" t="s">
        <v>2862</v>
      </c>
      <c r="E2767" t="s">
        <v>4</v>
      </c>
      <c r="F2767">
        <v>6.32</v>
      </c>
      <c r="H2767" t="s">
        <v>5</v>
      </c>
      <c r="I2767" s="1">
        <v>60.64</v>
      </c>
      <c r="J2767" s="1">
        <v>59.77</v>
      </c>
      <c r="K2767" t="s">
        <v>6</v>
      </c>
    </row>
    <row r="2768" spans="1:11">
      <c r="A2768" t="s">
        <v>2837</v>
      </c>
      <c r="B2768">
        <v>438728</v>
      </c>
      <c r="C2768" s="2" t="str">
        <f>"303578521"</f>
        <v>303578521</v>
      </c>
      <c r="D2768" t="s">
        <v>2863</v>
      </c>
      <c r="E2768" t="s">
        <v>4</v>
      </c>
      <c r="F2768">
        <v>4.38</v>
      </c>
      <c r="H2768" t="s">
        <v>5</v>
      </c>
      <c r="I2768" s="1">
        <v>59.67</v>
      </c>
      <c r="J2768" s="1">
        <v>58.81</v>
      </c>
      <c r="K2768" t="s">
        <v>6</v>
      </c>
    </row>
    <row r="2769" spans="1:11">
      <c r="A2769" t="s">
        <v>2837</v>
      </c>
      <c r="B2769">
        <v>461502</v>
      </c>
      <c r="C2769" s="2" t="str">
        <f>"303678659"</f>
        <v>303678659</v>
      </c>
      <c r="D2769" t="s">
        <v>2864</v>
      </c>
      <c r="E2769" t="s">
        <v>4</v>
      </c>
      <c r="F2769">
        <v>4.6500000000000004</v>
      </c>
      <c r="H2769" t="s">
        <v>5</v>
      </c>
      <c r="I2769" s="1">
        <v>46.6</v>
      </c>
      <c r="J2769" s="1">
        <v>45.93</v>
      </c>
      <c r="K2769" t="s">
        <v>6</v>
      </c>
    </row>
    <row r="2770" spans="1:11">
      <c r="A2770" t="s">
        <v>2837</v>
      </c>
      <c r="B2770">
        <v>438798</v>
      </c>
      <c r="C2770" s="2" t="str">
        <f>"303679212"</f>
        <v>303679212</v>
      </c>
      <c r="D2770" t="s">
        <v>2865</v>
      </c>
      <c r="E2770" t="s">
        <v>4</v>
      </c>
      <c r="F2770">
        <v>3.58</v>
      </c>
      <c r="H2770" t="s">
        <v>5</v>
      </c>
      <c r="I2770" s="1">
        <v>63.35</v>
      </c>
      <c r="J2770" s="1">
        <v>62.44</v>
      </c>
      <c r="K2770" t="s">
        <v>6</v>
      </c>
    </row>
    <row r="2771" spans="1:11">
      <c r="A2771" t="s">
        <v>2837</v>
      </c>
      <c r="B2771">
        <v>436952</v>
      </c>
      <c r="C2771" s="2" t="str">
        <f>"303679353"</f>
        <v>303679353</v>
      </c>
      <c r="D2771" t="s">
        <v>2866</v>
      </c>
      <c r="E2771" t="s">
        <v>4</v>
      </c>
      <c r="F2771">
        <v>8.58</v>
      </c>
      <c r="H2771" t="s">
        <v>5</v>
      </c>
      <c r="I2771" s="1">
        <v>88.59</v>
      </c>
      <c r="J2771" s="1">
        <v>87.32</v>
      </c>
      <c r="K2771" t="s">
        <v>6</v>
      </c>
    </row>
    <row r="2772" spans="1:11">
      <c r="A2772" t="s">
        <v>2837</v>
      </c>
      <c r="B2772">
        <v>436953</v>
      </c>
      <c r="C2772" s="2" t="str">
        <f>"303679580"</f>
        <v>303679580</v>
      </c>
      <c r="D2772" t="s">
        <v>2867</v>
      </c>
      <c r="E2772" t="s">
        <v>4</v>
      </c>
      <c r="F2772">
        <v>5.24</v>
      </c>
      <c r="H2772" t="s">
        <v>5</v>
      </c>
      <c r="I2772" s="1">
        <v>67.7</v>
      </c>
      <c r="J2772" s="1">
        <v>66.73</v>
      </c>
      <c r="K2772" t="s">
        <v>6</v>
      </c>
    </row>
    <row r="2773" spans="1:11">
      <c r="A2773" t="s">
        <v>2837</v>
      </c>
      <c r="B2773">
        <v>437303</v>
      </c>
      <c r="C2773" s="2" t="str">
        <f>"303679591"</f>
        <v>303679591</v>
      </c>
      <c r="D2773" t="s">
        <v>2868</v>
      </c>
      <c r="E2773" t="s">
        <v>4</v>
      </c>
      <c r="F2773">
        <v>4.07</v>
      </c>
      <c r="H2773" t="s">
        <v>5</v>
      </c>
      <c r="I2773" s="1">
        <v>72.22</v>
      </c>
      <c r="J2773" s="1">
        <v>71.19</v>
      </c>
      <c r="K2773" t="s">
        <v>6</v>
      </c>
    </row>
    <row r="2774" spans="1:11">
      <c r="A2774" t="s">
        <v>2837</v>
      </c>
      <c r="B2774">
        <v>436955</v>
      </c>
      <c r="C2774" s="2" t="str">
        <f>"303679592"</f>
        <v>303679592</v>
      </c>
      <c r="D2774" t="s">
        <v>2869</v>
      </c>
      <c r="E2774" t="s">
        <v>4</v>
      </c>
      <c r="F2774">
        <v>4.6100000000000003</v>
      </c>
      <c r="H2774" t="s">
        <v>5</v>
      </c>
      <c r="I2774" s="1">
        <v>66.3</v>
      </c>
      <c r="J2774" s="1">
        <v>65.349999999999994</v>
      </c>
      <c r="K2774" t="s">
        <v>6</v>
      </c>
    </row>
    <row r="2775" spans="1:11">
      <c r="A2775" t="s">
        <v>2837</v>
      </c>
      <c r="B2775">
        <v>437304</v>
      </c>
      <c r="C2775" s="2" t="str">
        <f>"303679597"</f>
        <v>303679597</v>
      </c>
      <c r="D2775" t="s">
        <v>2870</v>
      </c>
      <c r="E2775" t="s">
        <v>4</v>
      </c>
      <c r="F2775">
        <v>4.58</v>
      </c>
      <c r="H2775" t="s">
        <v>5</v>
      </c>
      <c r="I2775" s="1">
        <v>68.209999999999994</v>
      </c>
      <c r="J2775" s="1">
        <v>67.239999999999995</v>
      </c>
      <c r="K2775" t="s">
        <v>6</v>
      </c>
    </row>
    <row r="2776" spans="1:11">
      <c r="A2776" t="s">
        <v>2837</v>
      </c>
      <c r="B2776">
        <v>437306</v>
      </c>
      <c r="C2776" s="2" t="str">
        <f>"303679600"</f>
        <v>303679600</v>
      </c>
      <c r="D2776" t="s">
        <v>2871</v>
      </c>
      <c r="E2776" t="s">
        <v>4</v>
      </c>
      <c r="F2776">
        <v>4.07</v>
      </c>
      <c r="H2776" t="s">
        <v>5</v>
      </c>
      <c r="I2776" s="1">
        <v>72.22</v>
      </c>
      <c r="J2776" s="1">
        <v>71.19</v>
      </c>
      <c r="K2776" t="s">
        <v>6</v>
      </c>
    </row>
    <row r="2777" spans="1:11">
      <c r="A2777" t="s">
        <v>2837</v>
      </c>
      <c r="B2777">
        <v>438790</v>
      </c>
      <c r="C2777" s="2" t="str">
        <f>"303679606"</f>
        <v>303679606</v>
      </c>
      <c r="D2777" t="s">
        <v>2872</v>
      </c>
      <c r="E2777" t="s">
        <v>4</v>
      </c>
      <c r="F2777">
        <v>6.4</v>
      </c>
      <c r="H2777" t="s">
        <v>5</v>
      </c>
      <c r="I2777" s="1">
        <v>76.540000000000006</v>
      </c>
      <c r="J2777" s="1">
        <v>75.44</v>
      </c>
      <c r="K2777" t="s">
        <v>6</v>
      </c>
    </row>
    <row r="2778" spans="1:11">
      <c r="A2778" t="s">
        <v>2837</v>
      </c>
      <c r="B2778">
        <v>436957</v>
      </c>
      <c r="C2778" s="2" t="str">
        <f>"303679613"</f>
        <v>303679613</v>
      </c>
      <c r="D2778" t="s">
        <v>2873</v>
      </c>
      <c r="E2778" t="s">
        <v>4</v>
      </c>
      <c r="F2778">
        <v>2.97</v>
      </c>
      <c r="H2778" t="s">
        <v>5</v>
      </c>
      <c r="I2778" s="1">
        <v>68</v>
      </c>
      <c r="J2778" s="1">
        <v>67.03</v>
      </c>
      <c r="K2778" t="s">
        <v>6</v>
      </c>
    </row>
    <row r="2779" spans="1:11">
      <c r="A2779" t="s">
        <v>2837</v>
      </c>
      <c r="B2779">
        <v>436958</v>
      </c>
      <c r="C2779" s="2" t="str">
        <f>"303679614"</f>
        <v>303679614</v>
      </c>
      <c r="D2779" t="s">
        <v>2874</v>
      </c>
      <c r="E2779" t="s">
        <v>4</v>
      </c>
      <c r="F2779">
        <v>4.71</v>
      </c>
      <c r="H2779" t="s">
        <v>5</v>
      </c>
      <c r="I2779" s="1">
        <v>59.6</v>
      </c>
      <c r="J2779" s="1">
        <v>58.75</v>
      </c>
      <c r="K2779" t="s">
        <v>6</v>
      </c>
    </row>
    <row r="2780" spans="1:11">
      <c r="A2780" t="s">
        <v>2837</v>
      </c>
      <c r="B2780">
        <v>438803</v>
      </c>
      <c r="C2780" s="2" t="str">
        <f>"303679628"</f>
        <v>303679628</v>
      </c>
      <c r="D2780" t="s">
        <v>2875</v>
      </c>
      <c r="E2780" t="s">
        <v>4</v>
      </c>
      <c r="F2780">
        <v>2.89</v>
      </c>
      <c r="H2780" t="s">
        <v>5</v>
      </c>
      <c r="I2780" s="1">
        <v>56.38</v>
      </c>
      <c r="J2780" s="1">
        <v>55.58</v>
      </c>
      <c r="K2780" t="s">
        <v>6</v>
      </c>
    </row>
    <row r="2781" spans="1:11">
      <c r="A2781" t="s">
        <v>2837</v>
      </c>
      <c r="B2781">
        <v>437307</v>
      </c>
      <c r="C2781" s="2" t="str">
        <f>"303679629"</f>
        <v>303679629</v>
      </c>
      <c r="D2781" t="s">
        <v>2876</v>
      </c>
      <c r="E2781" t="s">
        <v>4</v>
      </c>
      <c r="F2781">
        <v>2.06</v>
      </c>
      <c r="H2781" t="s">
        <v>5</v>
      </c>
      <c r="I2781" s="1">
        <v>40</v>
      </c>
      <c r="J2781" s="1">
        <v>39.43</v>
      </c>
      <c r="K2781" t="s">
        <v>6</v>
      </c>
    </row>
    <row r="2782" spans="1:11">
      <c r="A2782" t="s">
        <v>2837</v>
      </c>
      <c r="B2782">
        <v>436962</v>
      </c>
      <c r="C2782" s="2" t="str">
        <f>"303679630"</f>
        <v>303679630</v>
      </c>
      <c r="D2782" t="s">
        <v>2877</v>
      </c>
      <c r="E2782" t="s">
        <v>4</v>
      </c>
      <c r="F2782">
        <v>7.02</v>
      </c>
      <c r="H2782" t="s">
        <v>5</v>
      </c>
      <c r="I2782" s="1">
        <v>74.53</v>
      </c>
      <c r="J2782" s="1">
        <v>73.459999999999994</v>
      </c>
      <c r="K2782" t="s">
        <v>6</v>
      </c>
    </row>
    <row r="2783" spans="1:11">
      <c r="A2783" t="s">
        <v>2837</v>
      </c>
      <c r="B2783">
        <v>437309</v>
      </c>
      <c r="C2783" s="2" t="str">
        <f>"303679640"</f>
        <v>303679640</v>
      </c>
      <c r="D2783" t="s">
        <v>2878</v>
      </c>
      <c r="E2783" t="s">
        <v>4</v>
      </c>
      <c r="F2783">
        <v>6.6</v>
      </c>
      <c r="H2783" t="s">
        <v>5</v>
      </c>
      <c r="I2783" s="1">
        <v>67.69</v>
      </c>
      <c r="J2783" s="1">
        <v>66.72</v>
      </c>
      <c r="K2783" t="s">
        <v>6</v>
      </c>
    </row>
    <row r="2784" spans="1:11">
      <c r="A2784" t="s">
        <v>2837</v>
      </c>
      <c r="B2784">
        <v>437312</v>
      </c>
      <c r="C2784" s="2" t="str">
        <f>"303679653"</f>
        <v>303679653</v>
      </c>
      <c r="D2784" t="s">
        <v>2879</v>
      </c>
      <c r="E2784" t="s">
        <v>4</v>
      </c>
      <c r="F2784">
        <v>10.51</v>
      </c>
      <c r="H2784" t="s">
        <v>5</v>
      </c>
      <c r="I2784" s="1">
        <v>52.31</v>
      </c>
      <c r="J2784" s="1">
        <v>51.56</v>
      </c>
      <c r="K2784" t="s">
        <v>6</v>
      </c>
    </row>
    <row r="2785" spans="1:11">
      <c r="A2785" t="s">
        <v>2837</v>
      </c>
      <c r="B2785">
        <v>446965</v>
      </c>
      <c r="C2785" s="2" t="str">
        <f>"303679809"</f>
        <v>303679809</v>
      </c>
      <c r="D2785" t="s">
        <v>2880</v>
      </c>
      <c r="E2785" t="s">
        <v>4</v>
      </c>
      <c r="F2785">
        <v>4.53</v>
      </c>
      <c r="H2785" t="s">
        <v>5</v>
      </c>
      <c r="I2785" s="1">
        <v>37.840000000000003</v>
      </c>
      <c r="J2785" s="1">
        <v>37.299999999999997</v>
      </c>
      <c r="K2785" t="s">
        <v>6</v>
      </c>
    </row>
    <row r="2786" spans="1:11">
      <c r="A2786" t="s">
        <v>2837</v>
      </c>
      <c r="B2786">
        <v>436968</v>
      </c>
      <c r="C2786" s="2" t="str">
        <f>"303679810"</f>
        <v>303679810</v>
      </c>
      <c r="D2786" t="s">
        <v>2881</v>
      </c>
      <c r="E2786" t="s">
        <v>4</v>
      </c>
      <c r="F2786">
        <v>4.3099999999999996</v>
      </c>
      <c r="H2786" t="s">
        <v>5</v>
      </c>
      <c r="I2786" s="1">
        <v>52.62</v>
      </c>
      <c r="J2786" s="1">
        <v>51.87</v>
      </c>
      <c r="K2786" t="s">
        <v>6</v>
      </c>
    </row>
    <row r="2787" spans="1:11">
      <c r="A2787" t="s">
        <v>2837</v>
      </c>
      <c r="B2787">
        <v>436969</v>
      </c>
      <c r="C2787" s="2" t="str">
        <f>"303679811"</f>
        <v>303679811</v>
      </c>
      <c r="D2787" t="s">
        <v>2882</v>
      </c>
      <c r="E2787" t="s">
        <v>4</v>
      </c>
      <c r="F2787">
        <v>4.3099999999999996</v>
      </c>
      <c r="H2787" t="s">
        <v>5</v>
      </c>
      <c r="I2787" s="1">
        <v>52.62</v>
      </c>
      <c r="J2787" s="1">
        <v>51.87</v>
      </c>
      <c r="K2787" t="s">
        <v>6</v>
      </c>
    </row>
    <row r="2788" spans="1:11">
      <c r="A2788" t="s">
        <v>2837</v>
      </c>
      <c r="B2788">
        <v>436970</v>
      </c>
      <c r="C2788" s="2" t="str">
        <f>"303679812"</f>
        <v>303679812</v>
      </c>
      <c r="D2788" t="s">
        <v>2883</v>
      </c>
      <c r="E2788" t="s">
        <v>4</v>
      </c>
      <c r="F2788">
        <v>4.3099999999999996</v>
      </c>
      <c r="H2788" t="s">
        <v>5</v>
      </c>
      <c r="I2788" s="1">
        <v>52.62</v>
      </c>
      <c r="J2788" s="1">
        <v>51.87</v>
      </c>
      <c r="K2788" t="s">
        <v>6</v>
      </c>
    </row>
    <row r="2789" spans="1:11">
      <c r="A2789" t="s">
        <v>2837</v>
      </c>
      <c r="B2789">
        <v>436972</v>
      </c>
      <c r="C2789" s="2" t="str">
        <f>"303679813"</f>
        <v>303679813</v>
      </c>
      <c r="D2789" t="s">
        <v>2884</v>
      </c>
      <c r="E2789" t="s">
        <v>4</v>
      </c>
      <c r="F2789">
        <v>4.3099999999999996</v>
      </c>
      <c r="H2789" t="s">
        <v>5</v>
      </c>
      <c r="I2789" s="1">
        <v>52.62</v>
      </c>
      <c r="J2789" s="1">
        <v>51.87</v>
      </c>
      <c r="K2789" t="s">
        <v>6</v>
      </c>
    </row>
    <row r="2790" spans="1:11">
      <c r="A2790" t="s">
        <v>2837</v>
      </c>
      <c r="B2790">
        <v>436973</v>
      </c>
      <c r="C2790" s="2" t="str">
        <f>"303679814"</f>
        <v>303679814</v>
      </c>
      <c r="D2790" t="s">
        <v>2885</v>
      </c>
      <c r="E2790" t="s">
        <v>4</v>
      </c>
      <c r="F2790">
        <v>4.3099999999999996</v>
      </c>
      <c r="H2790" t="s">
        <v>5</v>
      </c>
      <c r="I2790" s="1">
        <v>52.62</v>
      </c>
      <c r="J2790" s="1">
        <v>51.87</v>
      </c>
      <c r="K2790" t="s">
        <v>6</v>
      </c>
    </row>
    <row r="2791" spans="1:11">
      <c r="A2791" t="s">
        <v>2837</v>
      </c>
      <c r="B2791">
        <v>436975</v>
      </c>
      <c r="C2791" s="2" t="str">
        <f>"303679815"</f>
        <v>303679815</v>
      </c>
      <c r="D2791" t="s">
        <v>2886</v>
      </c>
      <c r="E2791" t="s">
        <v>4</v>
      </c>
      <c r="F2791">
        <v>4.3099999999999996</v>
      </c>
      <c r="H2791" t="s">
        <v>5</v>
      </c>
      <c r="I2791" s="1">
        <v>52.62</v>
      </c>
      <c r="J2791" s="1">
        <v>51.87</v>
      </c>
      <c r="K2791" t="s">
        <v>6</v>
      </c>
    </row>
    <row r="2792" spans="1:11">
      <c r="A2792" t="s">
        <v>2837</v>
      </c>
      <c r="B2792">
        <v>437023</v>
      </c>
      <c r="C2792" s="2" t="str">
        <f>"303679816"</f>
        <v>303679816</v>
      </c>
      <c r="D2792" t="s">
        <v>2887</v>
      </c>
      <c r="E2792" t="s">
        <v>4</v>
      </c>
      <c r="F2792">
        <v>4.3099999999999996</v>
      </c>
      <c r="H2792" t="s">
        <v>5</v>
      </c>
      <c r="I2792" s="1">
        <v>52.62</v>
      </c>
      <c r="J2792" s="1">
        <v>51.87</v>
      </c>
      <c r="K2792" t="s">
        <v>6</v>
      </c>
    </row>
    <row r="2793" spans="1:11">
      <c r="A2793" t="s">
        <v>2837</v>
      </c>
      <c r="B2793">
        <v>437024</v>
      </c>
      <c r="C2793" s="2" t="str">
        <f>"303679817"</f>
        <v>303679817</v>
      </c>
      <c r="D2793" t="s">
        <v>2888</v>
      </c>
      <c r="E2793" t="s">
        <v>4</v>
      </c>
      <c r="F2793">
        <v>3.8</v>
      </c>
      <c r="H2793" t="s">
        <v>5</v>
      </c>
      <c r="I2793" s="1">
        <v>69.89</v>
      </c>
      <c r="J2793" s="1">
        <v>68.89</v>
      </c>
      <c r="K2793" t="s">
        <v>6</v>
      </c>
    </row>
    <row r="2794" spans="1:11">
      <c r="A2794" t="s">
        <v>2837</v>
      </c>
      <c r="B2794">
        <v>437032</v>
      </c>
      <c r="C2794" s="2" t="str">
        <f>"303679827"</f>
        <v>303679827</v>
      </c>
      <c r="D2794" t="s">
        <v>2889</v>
      </c>
      <c r="E2794" t="s">
        <v>4</v>
      </c>
      <c r="F2794">
        <v>8.6300000000000008</v>
      </c>
      <c r="H2794" t="s">
        <v>5</v>
      </c>
      <c r="I2794" s="1">
        <v>96.85</v>
      </c>
      <c r="J2794" s="1">
        <v>95.47</v>
      </c>
      <c r="K2794" t="s">
        <v>6</v>
      </c>
    </row>
    <row r="2795" spans="1:11">
      <c r="A2795" t="s">
        <v>2837</v>
      </c>
      <c r="B2795">
        <v>490402</v>
      </c>
      <c r="C2795" s="2" t="str">
        <f>"303679896"</f>
        <v>303679896</v>
      </c>
      <c r="D2795" t="s">
        <v>2890</v>
      </c>
      <c r="E2795" t="s">
        <v>4</v>
      </c>
      <c r="F2795">
        <v>4.2699999999999996</v>
      </c>
      <c r="H2795" t="s">
        <v>5</v>
      </c>
      <c r="I2795" s="1">
        <v>48.19</v>
      </c>
      <c r="J2795" s="1">
        <v>47.5</v>
      </c>
      <c r="K2795" t="s">
        <v>6</v>
      </c>
    </row>
    <row r="2796" spans="1:11">
      <c r="A2796" t="s">
        <v>2837</v>
      </c>
      <c r="B2796">
        <v>437035</v>
      </c>
      <c r="C2796" s="2" t="str">
        <f>"303679944"</f>
        <v>303679944</v>
      </c>
      <c r="D2796" t="s">
        <v>2891</v>
      </c>
      <c r="E2796" t="s">
        <v>4</v>
      </c>
      <c r="F2796">
        <v>2.52</v>
      </c>
      <c r="H2796" t="s">
        <v>5</v>
      </c>
      <c r="I2796" s="1">
        <v>49.39</v>
      </c>
      <c r="J2796" s="1">
        <v>48.68</v>
      </c>
      <c r="K2796" t="s">
        <v>6</v>
      </c>
    </row>
    <row r="2797" spans="1:11">
      <c r="A2797" t="s">
        <v>2837</v>
      </c>
      <c r="B2797">
        <v>438747</v>
      </c>
      <c r="C2797" s="2" t="str">
        <f>"303679971"</f>
        <v>303679971</v>
      </c>
      <c r="D2797" t="s">
        <v>2892</v>
      </c>
      <c r="E2797" t="s">
        <v>4</v>
      </c>
      <c r="F2797">
        <v>7.73</v>
      </c>
      <c r="H2797" t="s">
        <v>5</v>
      </c>
      <c r="I2797" s="1">
        <v>38.270000000000003</v>
      </c>
      <c r="J2797" s="1">
        <v>37.72</v>
      </c>
      <c r="K2797" t="s">
        <v>6</v>
      </c>
    </row>
    <row r="2798" spans="1:11">
      <c r="A2798" t="s">
        <v>2837</v>
      </c>
      <c r="B2798">
        <v>437037</v>
      </c>
      <c r="C2798" s="2" t="str">
        <f>"303679974"</f>
        <v>303679974</v>
      </c>
      <c r="D2798" t="s">
        <v>2893</v>
      </c>
      <c r="E2798" t="s">
        <v>4</v>
      </c>
      <c r="F2798">
        <v>4.33</v>
      </c>
      <c r="H2798" t="s">
        <v>5</v>
      </c>
      <c r="I2798" s="1">
        <v>43.19</v>
      </c>
      <c r="J2798" s="1">
        <v>42.58</v>
      </c>
      <c r="K2798" t="s">
        <v>6</v>
      </c>
    </row>
    <row r="2799" spans="1:11">
      <c r="A2799" t="s">
        <v>2837</v>
      </c>
      <c r="B2799">
        <v>437038</v>
      </c>
      <c r="C2799" s="2" t="str">
        <f>"303679975"</f>
        <v>303679975</v>
      </c>
      <c r="D2799" t="s">
        <v>2894</v>
      </c>
      <c r="E2799" t="s">
        <v>4</v>
      </c>
      <c r="F2799">
        <v>5.4</v>
      </c>
      <c r="H2799" t="s">
        <v>5</v>
      </c>
      <c r="I2799" s="1">
        <v>47.81</v>
      </c>
      <c r="J2799" s="1">
        <v>47.13</v>
      </c>
      <c r="K2799" t="s">
        <v>6</v>
      </c>
    </row>
    <row r="2800" spans="1:11">
      <c r="A2800" t="s">
        <v>2837</v>
      </c>
      <c r="B2800">
        <v>437039</v>
      </c>
      <c r="C2800" s="2" t="str">
        <f>"303679976"</f>
        <v>303679976</v>
      </c>
      <c r="D2800" t="s">
        <v>2895</v>
      </c>
      <c r="E2800" t="s">
        <v>4</v>
      </c>
      <c r="F2800">
        <v>8.0399999999999991</v>
      </c>
      <c r="H2800" t="s">
        <v>5</v>
      </c>
      <c r="I2800" s="1">
        <v>48.68</v>
      </c>
      <c r="J2800" s="1">
        <v>47.98</v>
      </c>
      <c r="K2800" t="s">
        <v>6</v>
      </c>
    </row>
    <row r="2801" spans="1:11">
      <c r="A2801" t="s">
        <v>2837</v>
      </c>
      <c r="B2801">
        <v>437040</v>
      </c>
      <c r="C2801" s="2" t="str">
        <f>"303679977"</f>
        <v>303679977</v>
      </c>
      <c r="D2801" t="s">
        <v>2896</v>
      </c>
      <c r="E2801" t="s">
        <v>4</v>
      </c>
      <c r="F2801">
        <v>4.0599999999999996</v>
      </c>
      <c r="H2801" t="s">
        <v>5</v>
      </c>
      <c r="I2801" s="1">
        <v>46.91</v>
      </c>
      <c r="J2801" s="1">
        <v>46.24</v>
      </c>
      <c r="K2801" t="s">
        <v>6</v>
      </c>
    </row>
    <row r="2802" spans="1:11">
      <c r="A2802" t="s">
        <v>2837</v>
      </c>
      <c r="B2802">
        <v>437041</v>
      </c>
      <c r="C2802" s="2" t="str">
        <f>"303679978"</f>
        <v>303679978</v>
      </c>
      <c r="D2802" t="s">
        <v>2897</v>
      </c>
      <c r="E2802" t="s">
        <v>4</v>
      </c>
      <c r="F2802">
        <v>3.8</v>
      </c>
      <c r="H2802" t="s">
        <v>5</v>
      </c>
      <c r="I2802" s="1">
        <v>49.25</v>
      </c>
      <c r="J2802" s="1">
        <v>48.54</v>
      </c>
      <c r="K2802" t="s">
        <v>6</v>
      </c>
    </row>
    <row r="2803" spans="1:11">
      <c r="A2803" t="s">
        <v>2837</v>
      </c>
      <c r="B2803">
        <v>437042</v>
      </c>
      <c r="C2803" s="2" t="str">
        <f>"303679979"</f>
        <v>303679979</v>
      </c>
      <c r="D2803" t="s">
        <v>2898</v>
      </c>
      <c r="E2803" t="s">
        <v>4</v>
      </c>
      <c r="F2803">
        <v>7.11</v>
      </c>
      <c r="H2803" t="s">
        <v>5</v>
      </c>
      <c r="I2803" s="1">
        <v>50.71</v>
      </c>
      <c r="J2803" s="1">
        <v>49.99</v>
      </c>
      <c r="K2803" t="s">
        <v>6</v>
      </c>
    </row>
    <row r="2804" spans="1:11">
      <c r="A2804" t="s">
        <v>2837</v>
      </c>
      <c r="B2804">
        <v>437043</v>
      </c>
      <c r="C2804" s="2" t="str">
        <f>"303679980"</f>
        <v>303679980</v>
      </c>
      <c r="D2804" t="s">
        <v>2899</v>
      </c>
      <c r="E2804" t="s">
        <v>4</v>
      </c>
      <c r="F2804">
        <v>3.68</v>
      </c>
      <c r="H2804" t="s">
        <v>5</v>
      </c>
      <c r="I2804" s="1">
        <v>41.65</v>
      </c>
      <c r="J2804" s="1">
        <v>41.05</v>
      </c>
      <c r="K2804" t="s">
        <v>6</v>
      </c>
    </row>
    <row r="2805" spans="1:11">
      <c r="A2805" t="s">
        <v>2837</v>
      </c>
      <c r="B2805">
        <v>437044</v>
      </c>
      <c r="C2805" s="2" t="str">
        <f>"303679981"</f>
        <v>303679981</v>
      </c>
      <c r="D2805" t="s">
        <v>2900</v>
      </c>
      <c r="E2805" t="s">
        <v>4</v>
      </c>
      <c r="F2805">
        <v>7.75</v>
      </c>
      <c r="H2805" t="s">
        <v>5</v>
      </c>
      <c r="I2805" s="1">
        <v>80.7</v>
      </c>
      <c r="J2805" s="1">
        <v>79.540000000000006</v>
      </c>
      <c r="K2805" t="s">
        <v>6</v>
      </c>
    </row>
    <row r="2806" spans="1:11">
      <c r="A2806" t="s">
        <v>2837</v>
      </c>
      <c r="B2806">
        <v>437045</v>
      </c>
      <c r="C2806" s="2" t="str">
        <f>"303679982"</f>
        <v>303679982</v>
      </c>
      <c r="D2806" t="s">
        <v>2901</v>
      </c>
      <c r="E2806" t="s">
        <v>4</v>
      </c>
      <c r="F2806">
        <v>2.29</v>
      </c>
      <c r="H2806" t="s">
        <v>5</v>
      </c>
      <c r="I2806" s="1">
        <v>32.69</v>
      </c>
      <c r="J2806" s="1">
        <v>32.22</v>
      </c>
      <c r="K2806" t="s">
        <v>6</v>
      </c>
    </row>
    <row r="2807" spans="1:11">
      <c r="A2807" t="s">
        <v>2837</v>
      </c>
      <c r="B2807">
        <v>437700</v>
      </c>
      <c r="C2807" s="2" t="str">
        <f>"303764019"</f>
        <v>303764019</v>
      </c>
      <c r="D2807" t="s">
        <v>2902</v>
      </c>
      <c r="E2807" t="s">
        <v>4</v>
      </c>
      <c r="F2807">
        <v>4.8</v>
      </c>
      <c r="H2807" t="s">
        <v>5</v>
      </c>
      <c r="I2807" s="1">
        <v>37.11</v>
      </c>
      <c r="J2807" s="1">
        <v>36.58</v>
      </c>
      <c r="K2807" t="s">
        <v>6</v>
      </c>
    </row>
    <row r="2808" spans="1:11">
      <c r="A2808" t="s">
        <v>2837</v>
      </c>
      <c r="B2808">
        <v>439418</v>
      </c>
      <c r="C2808" s="2" t="str">
        <f>"303764020"</f>
        <v>303764020</v>
      </c>
      <c r="D2808" t="s">
        <v>2903</v>
      </c>
      <c r="E2808" t="s">
        <v>4</v>
      </c>
      <c r="F2808">
        <v>5.2</v>
      </c>
      <c r="H2808" t="s">
        <v>5</v>
      </c>
      <c r="I2808" s="1">
        <v>37.090000000000003</v>
      </c>
      <c r="J2808" s="1">
        <v>36.56</v>
      </c>
      <c r="K2808" t="s">
        <v>6</v>
      </c>
    </row>
    <row r="2809" spans="1:11">
      <c r="A2809" t="s">
        <v>2837</v>
      </c>
      <c r="B2809">
        <v>439377</v>
      </c>
      <c r="C2809" s="2" t="str">
        <f>"303764022"</f>
        <v>303764022</v>
      </c>
      <c r="D2809" t="s">
        <v>2904</v>
      </c>
      <c r="E2809" t="s">
        <v>4</v>
      </c>
      <c r="F2809">
        <v>6.11</v>
      </c>
      <c r="H2809" t="s">
        <v>5</v>
      </c>
      <c r="I2809" s="1">
        <v>39.61</v>
      </c>
      <c r="J2809" s="1">
        <v>39.04</v>
      </c>
      <c r="K2809" t="s">
        <v>6</v>
      </c>
    </row>
    <row r="2810" spans="1:11">
      <c r="A2810" t="s">
        <v>2837</v>
      </c>
      <c r="B2810">
        <v>439449</v>
      </c>
      <c r="C2810" s="2" t="str">
        <f>"303764023"</f>
        <v>303764023</v>
      </c>
      <c r="D2810" t="s">
        <v>2905</v>
      </c>
      <c r="E2810" t="s">
        <v>4</v>
      </c>
      <c r="F2810">
        <v>8.2200000000000006</v>
      </c>
      <c r="H2810" t="s">
        <v>5</v>
      </c>
      <c r="I2810" s="1">
        <v>39.9</v>
      </c>
      <c r="J2810" s="1">
        <v>39.33</v>
      </c>
      <c r="K2810" t="s">
        <v>6</v>
      </c>
    </row>
    <row r="2811" spans="1:11">
      <c r="A2811" t="s">
        <v>2837</v>
      </c>
      <c r="B2811">
        <v>439506</v>
      </c>
      <c r="C2811" s="2" t="str">
        <f>"303764024"</f>
        <v>303764024</v>
      </c>
      <c r="D2811" t="s">
        <v>2906</v>
      </c>
      <c r="E2811" t="s">
        <v>4</v>
      </c>
      <c r="F2811">
        <v>7.9</v>
      </c>
      <c r="H2811" t="s">
        <v>5</v>
      </c>
      <c r="I2811" s="1">
        <v>56.9</v>
      </c>
      <c r="J2811" s="1">
        <v>56.08</v>
      </c>
      <c r="K2811" t="s">
        <v>6</v>
      </c>
    </row>
    <row r="2812" spans="1:11">
      <c r="A2812" t="s">
        <v>2837</v>
      </c>
      <c r="B2812">
        <v>437315</v>
      </c>
      <c r="C2812" s="2" t="str">
        <f>"303764025"</f>
        <v>303764025</v>
      </c>
      <c r="D2812" t="s">
        <v>2907</v>
      </c>
      <c r="E2812" t="s">
        <v>4</v>
      </c>
      <c r="F2812">
        <v>6.28</v>
      </c>
      <c r="H2812" t="s">
        <v>5</v>
      </c>
      <c r="I2812" s="1">
        <v>37.46</v>
      </c>
      <c r="J2812" s="1">
        <v>36.92</v>
      </c>
      <c r="K2812" t="s">
        <v>6</v>
      </c>
    </row>
    <row r="2813" spans="1:11">
      <c r="A2813" t="s">
        <v>2837</v>
      </c>
      <c r="B2813">
        <v>437316</v>
      </c>
      <c r="C2813" s="2" t="str">
        <f>"303764026"</f>
        <v>303764026</v>
      </c>
      <c r="D2813" t="s">
        <v>2908</v>
      </c>
      <c r="E2813" t="s">
        <v>4</v>
      </c>
      <c r="F2813">
        <v>5.13</v>
      </c>
      <c r="H2813" t="s">
        <v>5</v>
      </c>
      <c r="I2813" s="1">
        <v>36.130000000000003</v>
      </c>
      <c r="J2813" s="1">
        <v>35.61</v>
      </c>
      <c r="K2813" t="s">
        <v>6</v>
      </c>
    </row>
    <row r="2814" spans="1:11">
      <c r="A2814" t="s">
        <v>2837</v>
      </c>
      <c r="B2814">
        <v>437317</v>
      </c>
      <c r="C2814" s="2" t="str">
        <f>"303764027"</f>
        <v>303764027</v>
      </c>
      <c r="D2814" t="s">
        <v>2909</v>
      </c>
      <c r="E2814" t="s">
        <v>4</v>
      </c>
      <c r="F2814">
        <v>7.98</v>
      </c>
      <c r="H2814" t="s">
        <v>5</v>
      </c>
      <c r="I2814" s="1">
        <v>40.28</v>
      </c>
      <c r="J2814" s="1">
        <v>39.700000000000003</v>
      </c>
      <c r="K2814" t="s">
        <v>6</v>
      </c>
    </row>
    <row r="2815" spans="1:11">
      <c r="A2815" t="s">
        <v>2837</v>
      </c>
      <c r="B2815">
        <v>438729</v>
      </c>
      <c r="C2815" s="2" t="str">
        <f>"303981012"</f>
        <v>303981012</v>
      </c>
      <c r="D2815" t="s">
        <v>2910</v>
      </c>
      <c r="E2815" t="s">
        <v>4</v>
      </c>
      <c r="F2815">
        <v>2.2999999999999998</v>
      </c>
      <c r="H2815" t="s">
        <v>5</v>
      </c>
      <c r="I2815" s="1">
        <v>37.520000000000003</v>
      </c>
      <c r="J2815" s="1">
        <v>36.99</v>
      </c>
      <c r="K2815" t="s">
        <v>6</v>
      </c>
    </row>
    <row r="2816" spans="1:11">
      <c r="A2816" t="s">
        <v>2837</v>
      </c>
      <c r="B2816">
        <v>565851</v>
      </c>
      <c r="C2816" s="2" t="str">
        <f>"304340221"</f>
        <v>304340221</v>
      </c>
      <c r="D2816" t="s">
        <v>2911</v>
      </c>
      <c r="E2816" t="s">
        <v>4</v>
      </c>
      <c r="F2816">
        <v>9.17</v>
      </c>
      <c r="H2816" t="s">
        <v>5</v>
      </c>
      <c r="I2816" s="1">
        <v>56.9</v>
      </c>
      <c r="J2816" s="1">
        <v>56.08</v>
      </c>
      <c r="K2816" t="s">
        <v>6</v>
      </c>
    </row>
    <row r="2817" spans="1:11">
      <c r="A2817" t="s">
        <v>2837</v>
      </c>
      <c r="B2817">
        <v>565852</v>
      </c>
      <c r="C2817" s="2" t="str">
        <f>"304340222"</f>
        <v>304340222</v>
      </c>
      <c r="D2817" t="s">
        <v>2912</v>
      </c>
      <c r="E2817" t="s">
        <v>4</v>
      </c>
      <c r="F2817">
        <v>9.7799999999999994</v>
      </c>
      <c r="H2817" t="s">
        <v>5</v>
      </c>
      <c r="I2817" s="1">
        <v>56.9</v>
      </c>
      <c r="J2817" s="1">
        <v>56.08</v>
      </c>
      <c r="K2817" t="s">
        <v>6</v>
      </c>
    </row>
    <row r="2818" spans="1:11">
      <c r="A2818" t="s">
        <v>2837</v>
      </c>
      <c r="B2818">
        <v>565853</v>
      </c>
      <c r="C2818" s="2" t="str">
        <f>"304340223"</f>
        <v>304340223</v>
      </c>
      <c r="D2818" t="s">
        <v>2913</v>
      </c>
      <c r="E2818" t="s">
        <v>4</v>
      </c>
      <c r="F2818">
        <v>10.46</v>
      </c>
      <c r="H2818" t="s">
        <v>5</v>
      </c>
      <c r="I2818" s="1">
        <v>56.9</v>
      </c>
      <c r="J2818" s="1">
        <v>56.08</v>
      </c>
      <c r="K2818" t="s">
        <v>6</v>
      </c>
    </row>
    <row r="2819" spans="1:11">
      <c r="A2819" t="s">
        <v>2837</v>
      </c>
      <c r="B2819">
        <v>565854</v>
      </c>
      <c r="C2819" s="2" t="str">
        <f>"304340224"</f>
        <v>304340224</v>
      </c>
      <c r="D2819" t="s">
        <v>2914</v>
      </c>
      <c r="E2819" t="s">
        <v>4</v>
      </c>
      <c r="F2819">
        <v>11.27</v>
      </c>
      <c r="H2819" t="s">
        <v>5</v>
      </c>
      <c r="I2819" s="1">
        <v>56.9</v>
      </c>
      <c r="J2819" s="1">
        <v>56.08</v>
      </c>
      <c r="K2819" t="s">
        <v>6</v>
      </c>
    </row>
    <row r="2820" spans="1:11">
      <c r="A2820" t="s">
        <v>2837</v>
      </c>
      <c r="B2820">
        <v>452854</v>
      </c>
      <c r="C2820" s="2" t="str">
        <f>"304362072"</f>
        <v>304362072</v>
      </c>
      <c r="D2820" t="s">
        <v>2915</v>
      </c>
      <c r="E2820" t="s">
        <v>4</v>
      </c>
      <c r="F2820">
        <v>13.46</v>
      </c>
      <c r="H2820" t="s">
        <v>5</v>
      </c>
      <c r="I2820" s="1">
        <v>85.41</v>
      </c>
      <c r="J2820" s="1">
        <v>84.19</v>
      </c>
      <c r="K2820" t="s">
        <v>6</v>
      </c>
    </row>
    <row r="2821" spans="1:11">
      <c r="A2821" t="s">
        <v>2837</v>
      </c>
      <c r="B2821">
        <v>459875</v>
      </c>
      <c r="C2821" s="2" t="str">
        <f>"304362073"</f>
        <v>304362073</v>
      </c>
      <c r="D2821" t="s">
        <v>2916</v>
      </c>
      <c r="E2821" t="s">
        <v>4</v>
      </c>
      <c r="F2821">
        <v>15.24</v>
      </c>
      <c r="H2821" t="s">
        <v>5</v>
      </c>
      <c r="I2821" s="1">
        <v>85.41</v>
      </c>
      <c r="J2821" s="1">
        <v>84.19</v>
      </c>
      <c r="K2821" t="s">
        <v>6</v>
      </c>
    </row>
    <row r="2822" spans="1:11">
      <c r="A2822" t="s">
        <v>2837</v>
      </c>
      <c r="B2822">
        <v>459870</v>
      </c>
      <c r="C2822" s="2" t="str">
        <f>"304362093"</f>
        <v>304362093</v>
      </c>
      <c r="D2822" t="s">
        <v>2917</v>
      </c>
      <c r="E2822" t="s">
        <v>4</v>
      </c>
      <c r="F2822">
        <v>13.33</v>
      </c>
      <c r="H2822" t="s">
        <v>5</v>
      </c>
      <c r="I2822" s="1">
        <v>78.58</v>
      </c>
      <c r="J2822" s="1">
        <v>77.45</v>
      </c>
      <c r="K2822" t="s">
        <v>6</v>
      </c>
    </row>
    <row r="2823" spans="1:11">
      <c r="A2823" t="s">
        <v>2837</v>
      </c>
      <c r="B2823">
        <v>459866</v>
      </c>
      <c r="C2823" s="2" t="str">
        <f>"304362094"</f>
        <v>304362094</v>
      </c>
      <c r="D2823" t="s">
        <v>2918</v>
      </c>
      <c r="E2823" t="s">
        <v>4</v>
      </c>
      <c r="F2823">
        <v>14.68</v>
      </c>
      <c r="H2823" t="s">
        <v>5</v>
      </c>
      <c r="I2823" s="1">
        <v>78.58</v>
      </c>
      <c r="J2823" s="1">
        <v>77.45</v>
      </c>
      <c r="K2823" t="s">
        <v>6</v>
      </c>
    </row>
    <row r="2824" spans="1:11">
      <c r="A2824" t="s">
        <v>2837</v>
      </c>
      <c r="B2824">
        <v>458603</v>
      </c>
      <c r="C2824" s="2" t="str">
        <f>"304362122"</f>
        <v>304362122</v>
      </c>
      <c r="D2824" t="s">
        <v>2919</v>
      </c>
      <c r="E2824" t="s">
        <v>4</v>
      </c>
      <c r="F2824">
        <v>13.35</v>
      </c>
      <c r="H2824" t="s">
        <v>5</v>
      </c>
      <c r="I2824" s="1">
        <v>63.59</v>
      </c>
      <c r="J2824" s="1">
        <v>62.68</v>
      </c>
      <c r="K2824" t="s">
        <v>6</v>
      </c>
    </row>
    <row r="2825" spans="1:11">
      <c r="A2825" t="s">
        <v>2837</v>
      </c>
      <c r="B2825">
        <v>458604</v>
      </c>
      <c r="C2825" s="2" t="str">
        <f>"304362123"</f>
        <v>304362123</v>
      </c>
      <c r="D2825" t="s">
        <v>2920</v>
      </c>
      <c r="E2825" t="s">
        <v>4</v>
      </c>
      <c r="F2825">
        <v>14.47</v>
      </c>
      <c r="H2825" t="s">
        <v>5</v>
      </c>
      <c r="I2825" s="1">
        <v>63.59</v>
      </c>
      <c r="J2825" s="1">
        <v>62.68</v>
      </c>
      <c r="K2825" t="s">
        <v>6</v>
      </c>
    </row>
    <row r="2826" spans="1:11">
      <c r="A2826" t="s">
        <v>2837</v>
      </c>
      <c r="B2826">
        <v>456562</v>
      </c>
      <c r="C2826" s="2" t="str">
        <f>"304362124"</f>
        <v>304362124</v>
      </c>
      <c r="D2826" t="s">
        <v>2921</v>
      </c>
      <c r="E2826" t="s">
        <v>4</v>
      </c>
      <c r="F2826">
        <v>15.97</v>
      </c>
      <c r="H2826" t="s">
        <v>5</v>
      </c>
      <c r="I2826" s="1">
        <v>66.5</v>
      </c>
      <c r="J2826" s="1">
        <v>65.55</v>
      </c>
      <c r="K2826" t="s">
        <v>6</v>
      </c>
    </row>
    <row r="2827" spans="1:11">
      <c r="A2827" t="s">
        <v>2837</v>
      </c>
      <c r="B2827">
        <v>459836</v>
      </c>
      <c r="C2827" s="2" t="str">
        <f>"304362132"</f>
        <v>304362132</v>
      </c>
      <c r="D2827" t="s">
        <v>2922</v>
      </c>
      <c r="E2827" t="s">
        <v>4</v>
      </c>
      <c r="F2827">
        <v>13.76</v>
      </c>
      <c r="H2827" t="s">
        <v>5</v>
      </c>
      <c r="I2827" s="1">
        <v>72.150000000000006</v>
      </c>
      <c r="J2827" s="1">
        <v>71.12</v>
      </c>
      <c r="K2827" t="s">
        <v>6</v>
      </c>
    </row>
    <row r="2828" spans="1:11">
      <c r="A2828" t="s">
        <v>2837</v>
      </c>
      <c r="B2828">
        <v>459831</v>
      </c>
      <c r="C2828" s="2" t="str">
        <f>"304362133"</f>
        <v>304362133</v>
      </c>
      <c r="D2828" t="s">
        <v>2923</v>
      </c>
      <c r="E2828" t="s">
        <v>4</v>
      </c>
      <c r="F2828">
        <v>14.56</v>
      </c>
      <c r="H2828" t="s">
        <v>5</v>
      </c>
      <c r="I2828" s="1">
        <v>72.150000000000006</v>
      </c>
      <c r="J2828" s="1">
        <v>71.12</v>
      </c>
      <c r="K2828" t="s">
        <v>6</v>
      </c>
    </row>
    <row r="2829" spans="1:11">
      <c r="A2829" t="s">
        <v>2837</v>
      </c>
      <c r="B2829">
        <v>464264</v>
      </c>
      <c r="C2829" s="2" t="str">
        <f>"304362134"</f>
        <v>304362134</v>
      </c>
      <c r="D2829" t="s">
        <v>2924</v>
      </c>
      <c r="E2829" t="s">
        <v>4</v>
      </c>
      <c r="F2829">
        <v>16.54</v>
      </c>
      <c r="H2829" t="s">
        <v>5</v>
      </c>
      <c r="I2829" s="1">
        <v>75.61</v>
      </c>
      <c r="J2829" s="1">
        <v>74.53</v>
      </c>
      <c r="K2829" t="s">
        <v>6</v>
      </c>
    </row>
    <row r="2830" spans="1:11">
      <c r="A2830" t="s">
        <v>2837</v>
      </c>
      <c r="B2830">
        <v>438735</v>
      </c>
      <c r="C2830" s="2" t="str">
        <f>"304362191"</f>
        <v>304362191</v>
      </c>
      <c r="D2830" t="s">
        <v>2925</v>
      </c>
      <c r="E2830" t="s">
        <v>4</v>
      </c>
      <c r="F2830">
        <v>12.39</v>
      </c>
      <c r="H2830" t="s">
        <v>5</v>
      </c>
      <c r="I2830" s="1">
        <v>58.86</v>
      </c>
      <c r="J2830" s="1">
        <v>58.02</v>
      </c>
      <c r="K2830" t="s">
        <v>6</v>
      </c>
    </row>
    <row r="2831" spans="1:11">
      <c r="A2831" t="s">
        <v>2837</v>
      </c>
      <c r="B2831">
        <v>438734</v>
      </c>
      <c r="C2831" s="2" t="str">
        <f>"304362192"</f>
        <v>304362192</v>
      </c>
      <c r="D2831" t="s">
        <v>2926</v>
      </c>
      <c r="E2831" t="s">
        <v>4</v>
      </c>
      <c r="F2831">
        <v>13.17</v>
      </c>
      <c r="H2831" t="s">
        <v>5</v>
      </c>
      <c r="I2831" s="1">
        <v>58.86</v>
      </c>
      <c r="J2831" s="1">
        <v>58.02</v>
      </c>
      <c r="K2831" t="s">
        <v>6</v>
      </c>
    </row>
    <row r="2832" spans="1:11">
      <c r="A2832" t="s">
        <v>2837</v>
      </c>
      <c r="B2832">
        <v>438733</v>
      </c>
      <c r="C2832" s="2" t="str">
        <f>"304362193"</f>
        <v>304362193</v>
      </c>
      <c r="D2832" t="s">
        <v>2927</v>
      </c>
      <c r="E2832" t="s">
        <v>4</v>
      </c>
      <c r="F2832">
        <v>14.45</v>
      </c>
      <c r="H2832" t="s">
        <v>5</v>
      </c>
      <c r="I2832" s="1">
        <v>58.86</v>
      </c>
      <c r="J2832" s="1">
        <v>58.02</v>
      </c>
      <c r="K2832" t="s">
        <v>6</v>
      </c>
    </row>
    <row r="2833" spans="1:11">
      <c r="A2833" t="s">
        <v>2837</v>
      </c>
      <c r="B2833">
        <v>439451</v>
      </c>
      <c r="C2833" s="2" t="str">
        <f>"304362391"</f>
        <v>304362391</v>
      </c>
      <c r="D2833" t="s">
        <v>2928</v>
      </c>
      <c r="E2833" t="s">
        <v>4</v>
      </c>
      <c r="F2833">
        <v>5.1100000000000003</v>
      </c>
      <c r="H2833" t="s">
        <v>5</v>
      </c>
      <c r="I2833" s="1">
        <v>29.08</v>
      </c>
      <c r="J2833" s="1">
        <v>28.66</v>
      </c>
      <c r="K2833" t="s">
        <v>6</v>
      </c>
    </row>
    <row r="2834" spans="1:11">
      <c r="A2834" t="s">
        <v>2837</v>
      </c>
      <c r="B2834">
        <v>438789</v>
      </c>
      <c r="C2834" s="2" t="str">
        <f>"304362392"</f>
        <v>304362392</v>
      </c>
      <c r="D2834" t="s">
        <v>2929</v>
      </c>
      <c r="E2834" t="s">
        <v>4</v>
      </c>
      <c r="F2834">
        <v>5.37</v>
      </c>
      <c r="H2834" t="s">
        <v>5</v>
      </c>
      <c r="I2834" s="1">
        <v>29.08</v>
      </c>
      <c r="J2834" s="1">
        <v>28.66</v>
      </c>
      <c r="K2834" t="s">
        <v>6</v>
      </c>
    </row>
    <row r="2835" spans="1:11">
      <c r="A2835" t="s">
        <v>2837</v>
      </c>
      <c r="B2835">
        <v>443231</v>
      </c>
      <c r="C2835" s="2" t="str">
        <f>"304362393"</f>
        <v>304362393</v>
      </c>
      <c r="D2835" t="s">
        <v>2930</v>
      </c>
      <c r="E2835" t="s">
        <v>4</v>
      </c>
      <c r="F2835">
        <v>5.84</v>
      </c>
      <c r="H2835" t="s">
        <v>5</v>
      </c>
      <c r="I2835" s="1">
        <v>29.08</v>
      </c>
      <c r="J2835" s="1">
        <v>28.67</v>
      </c>
      <c r="K2835" t="s">
        <v>6</v>
      </c>
    </row>
    <row r="2836" spans="1:11">
      <c r="A2836" t="s">
        <v>2837</v>
      </c>
      <c r="B2836">
        <v>438779</v>
      </c>
      <c r="C2836" s="2" t="str">
        <f>"304362394"</f>
        <v>304362394</v>
      </c>
      <c r="D2836" t="s">
        <v>2931</v>
      </c>
      <c r="E2836" t="s">
        <v>4</v>
      </c>
      <c r="F2836">
        <v>6.71</v>
      </c>
      <c r="H2836" t="s">
        <v>5</v>
      </c>
      <c r="I2836" s="1">
        <v>30.51</v>
      </c>
      <c r="J2836" s="1">
        <v>30.07</v>
      </c>
      <c r="K2836" t="s">
        <v>6</v>
      </c>
    </row>
    <row r="2837" spans="1:11">
      <c r="A2837" t="s">
        <v>2837</v>
      </c>
      <c r="B2837">
        <v>438745</v>
      </c>
      <c r="C2837" s="2" t="str">
        <f>"304362411"</f>
        <v>304362411</v>
      </c>
      <c r="D2837" t="s">
        <v>2932</v>
      </c>
      <c r="E2837" t="s">
        <v>4</v>
      </c>
      <c r="F2837">
        <v>4.8099999999999996</v>
      </c>
      <c r="H2837" t="s">
        <v>5</v>
      </c>
      <c r="I2837" s="1">
        <v>30.83</v>
      </c>
      <c r="J2837" s="1">
        <v>30.38</v>
      </c>
      <c r="K2837" t="s">
        <v>6</v>
      </c>
    </row>
    <row r="2838" spans="1:11">
      <c r="A2838" t="s">
        <v>2837</v>
      </c>
      <c r="B2838">
        <v>438743</v>
      </c>
      <c r="C2838" s="2" t="str">
        <f>"304362412"</f>
        <v>304362412</v>
      </c>
      <c r="D2838" t="s">
        <v>2933</v>
      </c>
      <c r="E2838" t="s">
        <v>4</v>
      </c>
      <c r="F2838">
        <v>5.62</v>
      </c>
      <c r="H2838" t="s">
        <v>5</v>
      </c>
      <c r="I2838" s="1">
        <v>30.83</v>
      </c>
      <c r="J2838" s="1">
        <v>30.38</v>
      </c>
      <c r="K2838" t="s">
        <v>6</v>
      </c>
    </row>
    <row r="2839" spans="1:11">
      <c r="A2839" t="s">
        <v>2837</v>
      </c>
      <c r="B2839">
        <v>438736</v>
      </c>
      <c r="C2839" s="2" t="str">
        <f>"304362413"</f>
        <v>304362413</v>
      </c>
      <c r="D2839" t="s">
        <v>2934</v>
      </c>
      <c r="E2839" t="s">
        <v>4</v>
      </c>
      <c r="F2839">
        <v>5.98</v>
      </c>
      <c r="H2839" t="s">
        <v>5</v>
      </c>
      <c r="I2839" s="1">
        <v>30.83</v>
      </c>
      <c r="J2839" s="1">
        <v>30.38</v>
      </c>
      <c r="K2839" t="s">
        <v>6</v>
      </c>
    </row>
    <row r="2840" spans="1:11">
      <c r="A2840" t="s">
        <v>2837</v>
      </c>
      <c r="B2840">
        <v>438802</v>
      </c>
      <c r="C2840" s="2" t="str">
        <f>"304362414"</f>
        <v>304362414</v>
      </c>
      <c r="D2840" t="s">
        <v>2935</v>
      </c>
      <c r="E2840" t="s">
        <v>4</v>
      </c>
      <c r="F2840">
        <v>6.51</v>
      </c>
      <c r="H2840" t="s">
        <v>5</v>
      </c>
      <c r="I2840" s="1">
        <v>32.28</v>
      </c>
      <c r="J2840" s="1">
        <v>31.81</v>
      </c>
      <c r="K2840" t="s">
        <v>6</v>
      </c>
    </row>
    <row r="2841" spans="1:11">
      <c r="A2841" t="s">
        <v>2837</v>
      </c>
      <c r="B2841">
        <v>439236</v>
      </c>
      <c r="C2841" s="2" t="str">
        <f>"304362511"</f>
        <v>304362511</v>
      </c>
      <c r="D2841" t="s">
        <v>2936</v>
      </c>
      <c r="E2841" t="s">
        <v>4</v>
      </c>
      <c r="F2841">
        <v>5.51</v>
      </c>
      <c r="H2841" t="s">
        <v>5</v>
      </c>
      <c r="I2841" s="1">
        <v>34.909999999999997</v>
      </c>
      <c r="J2841" s="1">
        <v>34.409999999999997</v>
      </c>
      <c r="K2841" t="s">
        <v>6</v>
      </c>
    </row>
    <row r="2842" spans="1:11">
      <c r="A2842" t="s">
        <v>2837</v>
      </c>
      <c r="B2842">
        <v>439237</v>
      </c>
      <c r="C2842" s="2" t="str">
        <f>"304362512"</f>
        <v>304362512</v>
      </c>
      <c r="D2842" t="s">
        <v>2937</v>
      </c>
      <c r="E2842" t="s">
        <v>4</v>
      </c>
      <c r="F2842">
        <v>5.55</v>
      </c>
      <c r="H2842" t="s">
        <v>5</v>
      </c>
      <c r="I2842" s="1">
        <v>34.97</v>
      </c>
      <c r="J2842" s="1">
        <v>34.47</v>
      </c>
      <c r="K2842" t="s">
        <v>6</v>
      </c>
    </row>
    <row r="2843" spans="1:11">
      <c r="A2843" t="s">
        <v>2837</v>
      </c>
      <c r="B2843">
        <v>439238</v>
      </c>
      <c r="C2843" s="2" t="str">
        <f>"304362513"</f>
        <v>304362513</v>
      </c>
      <c r="D2843" t="s">
        <v>2938</v>
      </c>
      <c r="E2843" t="s">
        <v>4</v>
      </c>
      <c r="F2843">
        <v>5.83</v>
      </c>
      <c r="H2843" t="s">
        <v>5</v>
      </c>
      <c r="I2843" s="1">
        <v>34.97</v>
      </c>
      <c r="J2843" s="1">
        <v>34.47</v>
      </c>
      <c r="K2843" t="s">
        <v>6</v>
      </c>
    </row>
    <row r="2844" spans="1:11">
      <c r="A2844" t="s">
        <v>2837</v>
      </c>
      <c r="B2844">
        <v>439239</v>
      </c>
      <c r="C2844" s="2" t="str">
        <f>"304362514"</f>
        <v>304362514</v>
      </c>
      <c r="D2844" t="s">
        <v>2939</v>
      </c>
      <c r="E2844" t="s">
        <v>4</v>
      </c>
      <c r="F2844">
        <v>6.66</v>
      </c>
      <c r="H2844" t="s">
        <v>5</v>
      </c>
      <c r="I2844" s="1">
        <v>36.67</v>
      </c>
      <c r="J2844" s="1">
        <v>36.14</v>
      </c>
      <c r="K2844" t="s">
        <v>6</v>
      </c>
    </row>
    <row r="2845" spans="1:11">
      <c r="A2845" t="s">
        <v>2837</v>
      </c>
      <c r="B2845">
        <v>439516</v>
      </c>
      <c r="C2845" s="2" t="str">
        <f>"304362532"</f>
        <v>304362532</v>
      </c>
      <c r="D2845" t="s">
        <v>2940</v>
      </c>
      <c r="E2845" t="s">
        <v>4</v>
      </c>
      <c r="F2845">
        <v>6.29</v>
      </c>
      <c r="H2845" t="s">
        <v>5</v>
      </c>
      <c r="I2845" s="1">
        <v>72.400000000000006</v>
      </c>
      <c r="J2845" s="1">
        <v>71.36</v>
      </c>
      <c r="K2845" t="s">
        <v>6</v>
      </c>
    </row>
    <row r="2846" spans="1:11">
      <c r="A2846" t="s">
        <v>2837</v>
      </c>
      <c r="B2846">
        <v>439514</v>
      </c>
      <c r="C2846" s="2" t="str">
        <f>"304362533"</f>
        <v>304362533</v>
      </c>
      <c r="D2846" t="s">
        <v>2941</v>
      </c>
      <c r="E2846" t="s">
        <v>4</v>
      </c>
      <c r="F2846">
        <v>4.66</v>
      </c>
      <c r="H2846" t="s">
        <v>5</v>
      </c>
      <c r="I2846" s="1">
        <v>72.400000000000006</v>
      </c>
      <c r="J2846" s="1">
        <v>71.36</v>
      </c>
      <c r="K2846" t="s">
        <v>6</v>
      </c>
    </row>
    <row r="2847" spans="1:11">
      <c r="A2847" t="s">
        <v>2837</v>
      </c>
      <c r="B2847">
        <v>439518</v>
      </c>
      <c r="C2847" s="2" t="str">
        <f>"304362534"</f>
        <v>304362534</v>
      </c>
      <c r="D2847" t="s">
        <v>2942</v>
      </c>
      <c r="E2847" t="s">
        <v>4</v>
      </c>
      <c r="F2847">
        <v>5.19</v>
      </c>
      <c r="H2847" t="s">
        <v>5</v>
      </c>
      <c r="I2847" s="1">
        <v>72.400000000000006</v>
      </c>
      <c r="J2847" s="1">
        <v>71.36</v>
      </c>
      <c r="K2847" t="s">
        <v>6</v>
      </c>
    </row>
    <row r="2848" spans="1:11">
      <c r="A2848" t="s">
        <v>2837</v>
      </c>
      <c r="B2848">
        <v>439526</v>
      </c>
      <c r="C2848" s="2" t="str">
        <f>"304362552"</f>
        <v>304362552</v>
      </c>
      <c r="D2848" t="s">
        <v>2943</v>
      </c>
      <c r="E2848" t="s">
        <v>4</v>
      </c>
      <c r="F2848">
        <v>13.85</v>
      </c>
      <c r="H2848" t="s">
        <v>5</v>
      </c>
      <c r="I2848" s="1">
        <v>68.91</v>
      </c>
      <c r="J2848" s="1">
        <v>67.92</v>
      </c>
      <c r="K2848" t="s">
        <v>6</v>
      </c>
    </row>
    <row r="2849" spans="1:11">
      <c r="A2849" t="s">
        <v>2837</v>
      </c>
      <c r="B2849">
        <v>439525</v>
      </c>
      <c r="C2849" s="2" t="str">
        <f>"304362553"</f>
        <v>304362553</v>
      </c>
      <c r="D2849" t="s">
        <v>2944</v>
      </c>
      <c r="E2849" t="s">
        <v>4</v>
      </c>
      <c r="F2849">
        <v>15.19</v>
      </c>
      <c r="H2849" t="s">
        <v>5</v>
      </c>
      <c r="I2849" s="1">
        <v>68.91</v>
      </c>
      <c r="J2849" s="1">
        <v>67.92</v>
      </c>
      <c r="K2849" t="s">
        <v>6</v>
      </c>
    </row>
    <row r="2850" spans="1:11">
      <c r="A2850" t="s">
        <v>2837</v>
      </c>
      <c r="B2850">
        <v>439556</v>
      </c>
      <c r="C2850" s="2" t="str">
        <f>"304362554"</f>
        <v>304362554</v>
      </c>
      <c r="D2850" t="s">
        <v>2945</v>
      </c>
      <c r="E2850" t="s">
        <v>4</v>
      </c>
      <c r="F2850">
        <v>16.34</v>
      </c>
      <c r="H2850" t="s">
        <v>5</v>
      </c>
      <c r="I2850" s="1">
        <v>72.400000000000006</v>
      </c>
      <c r="J2850" s="1">
        <v>71.37</v>
      </c>
      <c r="K2850" t="s">
        <v>6</v>
      </c>
    </row>
    <row r="2851" spans="1:11">
      <c r="A2851" t="s">
        <v>2837</v>
      </c>
      <c r="B2851">
        <v>481350</v>
      </c>
      <c r="C2851" s="2" t="str">
        <f>"304363042"</f>
        <v>304363042</v>
      </c>
      <c r="D2851" t="s">
        <v>2946</v>
      </c>
      <c r="E2851" t="s">
        <v>4</v>
      </c>
      <c r="F2851">
        <v>6.18</v>
      </c>
      <c r="H2851" t="s">
        <v>5</v>
      </c>
      <c r="I2851" s="1">
        <v>45.32</v>
      </c>
      <c r="J2851" s="1">
        <v>44.67</v>
      </c>
      <c r="K2851" t="s">
        <v>6</v>
      </c>
    </row>
    <row r="2852" spans="1:11">
      <c r="A2852" t="s">
        <v>2837</v>
      </c>
      <c r="B2852">
        <v>481351</v>
      </c>
      <c r="C2852" s="2" t="str">
        <f>"304363043"</f>
        <v>304363043</v>
      </c>
      <c r="D2852" t="s">
        <v>2947</v>
      </c>
      <c r="E2852" t="s">
        <v>4</v>
      </c>
      <c r="F2852">
        <v>6.94</v>
      </c>
      <c r="H2852" t="s">
        <v>5</v>
      </c>
      <c r="I2852" s="1">
        <v>45.32</v>
      </c>
      <c r="J2852" s="1">
        <v>44.67</v>
      </c>
      <c r="K2852" t="s">
        <v>6</v>
      </c>
    </row>
    <row r="2853" spans="1:11">
      <c r="A2853" t="s">
        <v>2837</v>
      </c>
      <c r="B2853">
        <v>536588</v>
      </c>
      <c r="C2853" s="2" t="str">
        <f>"304363262"</f>
        <v>304363262</v>
      </c>
      <c r="D2853" t="s">
        <v>2948</v>
      </c>
      <c r="E2853" t="s">
        <v>4</v>
      </c>
      <c r="F2853">
        <v>11.5</v>
      </c>
      <c r="H2853" t="s">
        <v>5</v>
      </c>
      <c r="I2853" s="1">
        <v>54.67</v>
      </c>
      <c r="J2853" s="1">
        <v>53.88</v>
      </c>
      <c r="K2853" t="s">
        <v>6</v>
      </c>
    </row>
    <row r="2854" spans="1:11">
      <c r="A2854" t="s">
        <v>2837</v>
      </c>
      <c r="B2854">
        <v>536589</v>
      </c>
      <c r="C2854" s="2" t="str">
        <f>"304363263"</f>
        <v>304363263</v>
      </c>
      <c r="D2854" t="s">
        <v>2949</v>
      </c>
      <c r="E2854" t="s">
        <v>4</v>
      </c>
      <c r="F2854">
        <v>12.32</v>
      </c>
      <c r="H2854" t="s">
        <v>5</v>
      </c>
      <c r="I2854" s="1">
        <v>54.67</v>
      </c>
      <c r="J2854" s="1">
        <v>53.88</v>
      </c>
      <c r="K2854" t="s">
        <v>6</v>
      </c>
    </row>
    <row r="2855" spans="1:11">
      <c r="A2855" t="s">
        <v>2837</v>
      </c>
      <c r="B2855">
        <v>536590</v>
      </c>
      <c r="C2855" s="2" t="str">
        <f>"304363264"</f>
        <v>304363264</v>
      </c>
      <c r="D2855" t="s">
        <v>2950</v>
      </c>
      <c r="E2855" t="s">
        <v>4</v>
      </c>
      <c r="F2855">
        <v>13.72</v>
      </c>
      <c r="H2855" t="s">
        <v>5</v>
      </c>
      <c r="I2855" s="1">
        <v>54.67</v>
      </c>
      <c r="J2855" s="1">
        <v>53.88</v>
      </c>
      <c r="K2855" t="s">
        <v>6</v>
      </c>
    </row>
    <row r="2856" spans="1:11">
      <c r="A2856" t="s">
        <v>2837</v>
      </c>
      <c r="B2856">
        <v>437060</v>
      </c>
      <c r="C2856" s="2" t="str">
        <f>"304663100"</f>
        <v>304663100</v>
      </c>
      <c r="D2856" t="s">
        <v>2951</v>
      </c>
      <c r="E2856" t="s">
        <v>4</v>
      </c>
      <c r="F2856">
        <v>21.69</v>
      </c>
      <c r="H2856" t="s">
        <v>5</v>
      </c>
      <c r="I2856" s="1">
        <v>88.72</v>
      </c>
      <c r="J2856" s="1">
        <v>87.45</v>
      </c>
      <c r="K2856" t="s">
        <v>6</v>
      </c>
    </row>
    <row r="2857" spans="1:11">
      <c r="A2857" t="s">
        <v>2837</v>
      </c>
      <c r="B2857">
        <v>489399</v>
      </c>
      <c r="C2857" s="2" t="str">
        <f>"304663104"</f>
        <v>304663104</v>
      </c>
      <c r="D2857" t="s">
        <v>2952</v>
      </c>
      <c r="E2857" t="s">
        <v>4</v>
      </c>
      <c r="F2857">
        <v>26.28</v>
      </c>
      <c r="H2857" t="s">
        <v>5</v>
      </c>
      <c r="I2857" s="1">
        <v>108.43</v>
      </c>
      <c r="J2857" s="1">
        <v>106.87</v>
      </c>
      <c r="K2857" t="s">
        <v>6</v>
      </c>
    </row>
    <row r="2858" spans="1:11">
      <c r="A2858" t="s">
        <v>2837</v>
      </c>
      <c r="B2858">
        <v>452859</v>
      </c>
      <c r="C2858" s="2" t="str">
        <f>"304750072"</f>
        <v>304750072</v>
      </c>
      <c r="D2858" t="s">
        <v>2953</v>
      </c>
      <c r="E2858" t="s">
        <v>4</v>
      </c>
      <c r="F2858">
        <v>15.5</v>
      </c>
      <c r="H2858" t="s">
        <v>5</v>
      </c>
      <c r="I2858" s="1">
        <v>127.63</v>
      </c>
      <c r="J2858" s="1">
        <v>125.8</v>
      </c>
      <c r="K2858" t="s">
        <v>6</v>
      </c>
    </row>
    <row r="2859" spans="1:11">
      <c r="A2859" t="s">
        <v>2837</v>
      </c>
      <c r="B2859">
        <v>462040</v>
      </c>
      <c r="C2859" s="2" t="str">
        <f>"304750073"</f>
        <v>304750073</v>
      </c>
      <c r="D2859" t="s">
        <v>2954</v>
      </c>
      <c r="E2859" t="s">
        <v>4</v>
      </c>
      <c r="F2859">
        <v>17.2</v>
      </c>
      <c r="H2859" t="s">
        <v>5</v>
      </c>
      <c r="I2859" s="1">
        <v>96.11</v>
      </c>
      <c r="J2859" s="1">
        <v>94.73</v>
      </c>
      <c r="K2859" t="s">
        <v>6</v>
      </c>
    </row>
    <row r="2860" spans="1:11">
      <c r="A2860" t="s">
        <v>2837</v>
      </c>
      <c r="B2860">
        <v>437327</v>
      </c>
      <c r="C2860" s="2" t="str">
        <f>"304762801"</f>
        <v>304762801</v>
      </c>
      <c r="D2860" t="s">
        <v>2955</v>
      </c>
      <c r="E2860" t="s">
        <v>4</v>
      </c>
      <c r="F2860">
        <v>12.16</v>
      </c>
      <c r="H2860" t="s">
        <v>5</v>
      </c>
      <c r="I2860" s="1">
        <v>100.38</v>
      </c>
      <c r="J2860" s="1">
        <v>98.94</v>
      </c>
      <c r="K2860" t="s">
        <v>6</v>
      </c>
    </row>
    <row r="2861" spans="1:11">
      <c r="A2861" t="s">
        <v>2837</v>
      </c>
      <c r="B2861">
        <v>437329</v>
      </c>
      <c r="C2861" s="2" t="str">
        <f>"304762803"</f>
        <v>304762803</v>
      </c>
      <c r="D2861" t="s">
        <v>2956</v>
      </c>
      <c r="E2861" t="s">
        <v>4</v>
      </c>
      <c r="F2861">
        <v>13.15</v>
      </c>
      <c r="H2861" t="s">
        <v>5</v>
      </c>
      <c r="I2861" s="1">
        <v>100.38</v>
      </c>
      <c r="J2861" s="1">
        <v>98.94</v>
      </c>
      <c r="K2861" t="s">
        <v>6</v>
      </c>
    </row>
    <row r="2862" spans="1:11">
      <c r="A2862" t="s">
        <v>2837</v>
      </c>
      <c r="B2862">
        <v>437062</v>
      </c>
      <c r="C2862" s="2" t="str">
        <f>"304762821"</f>
        <v>304762821</v>
      </c>
      <c r="D2862" t="s">
        <v>2957</v>
      </c>
      <c r="E2862" t="s">
        <v>4</v>
      </c>
      <c r="F2862">
        <v>4.9400000000000004</v>
      </c>
      <c r="H2862" t="s">
        <v>5</v>
      </c>
      <c r="I2862" s="1">
        <v>46.64</v>
      </c>
      <c r="J2862" s="1">
        <v>45.97</v>
      </c>
      <c r="K2862" t="s">
        <v>6</v>
      </c>
    </row>
    <row r="2863" spans="1:11">
      <c r="A2863" t="s">
        <v>2837</v>
      </c>
      <c r="B2863">
        <v>437063</v>
      </c>
      <c r="C2863" s="2" t="str">
        <f>"304762822"</f>
        <v>304762822</v>
      </c>
      <c r="D2863" t="s">
        <v>2958</v>
      </c>
      <c r="E2863" t="s">
        <v>4</v>
      </c>
      <c r="F2863">
        <v>5.28</v>
      </c>
      <c r="H2863" t="s">
        <v>5</v>
      </c>
      <c r="I2863" s="1">
        <v>46.64</v>
      </c>
      <c r="J2863" s="1">
        <v>45.97</v>
      </c>
      <c r="K2863" t="s">
        <v>6</v>
      </c>
    </row>
    <row r="2864" spans="1:11">
      <c r="A2864" t="s">
        <v>2837</v>
      </c>
      <c r="B2864">
        <v>437064</v>
      </c>
      <c r="C2864" s="2" t="str">
        <f>"304762823"</f>
        <v>304762823</v>
      </c>
      <c r="D2864" t="s">
        <v>2959</v>
      </c>
      <c r="E2864" t="s">
        <v>4</v>
      </c>
      <c r="F2864">
        <v>5.76</v>
      </c>
      <c r="H2864" t="s">
        <v>5</v>
      </c>
      <c r="I2864" s="1">
        <v>46.64</v>
      </c>
      <c r="J2864" s="1">
        <v>45.97</v>
      </c>
      <c r="K2864" t="s">
        <v>6</v>
      </c>
    </row>
    <row r="2865" spans="1:11">
      <c r="A2865" t="s">
        <v>2837</v>
      </c>
      <c r="B2865">
        <v>437065</v>
      </c>
      <c r="C2865" s="2" t="str">
        <f>"304762824"</f>
        <v>304762824</v>
      </c>
      <c r="D2865" t="s">
        <v>2960</v>
      </c>
      <c r="E2865" t="s">
        <v>4</v>
      </c>
      <c r="F2865">
        <v>6.54</v>
      </c>
      <c r="H2865" t="s">
        <v>5</v>
      </c>
      <c r="I2865" s="1">
        <v>48.89</v>
      </c>
      <c r="J2865" s="1">
        <v>48.19</v>
      </c>
      <c r="K2865" t="s">
        <v>6</v>
      </c>
    </row>
    <row r="2866" spans="1:11">
      <c r="A2866" t="s">
        <v>2837</v>
      </c>
      <c r="B2866">
        <v>459057</v>
      </c>
      <c r="C2866" s="2" t="str">
        <f>"304763002"</f>
        <v>304763002</v>
      </c>
      <c r="D2866" t="s">
        <v>2961</v>
      </c>
      <c r="E2866" t="s">
        <v>4</v>
      </c>
      <c r="F2866">
        <v>13.55</v>
      </c>
      <c r="H2866" t="s">
        <v>5</v>
      </c>
      <c r="I2866" s="1">
        <v>103.85</v>
      </c>
      <c r="J2866" s="1">
        <v>102.36</v>
      </c>
      <c r="K2866" t="s">
        <v>6</v>
      </c>
    </row>
    <row r="2867" spans="1:11">
      <c r="A2867" t="s">
        <v>2837</v>
      </c>
      <c r="B2867">
        <v>459058</v>
      </c>
      <c r="C2867" s="2" t="str">
        <f>"304763003"</f>
        <v>304763003</v>
      </c>
      <c r="D2867" t="s">
        <v>2962</v>
      </c>
      <c r="E2867" t="s">
        <v>4</v>
      </c>
      <c r="F2867">
        <v>14.38</v>
      </c>
      <c r="H2867" t="s">
        <v>5</v>
      </c>
      <c r="I2867" s="1">
        <v>103.85</v>
      </c>
      <c r="J2867" s="1">
        <v>102.36</v>
      </c>
      <c r="K2867" t="s">
        <v>6</v>
      </c>
    </row>
    <row r="2868" spans="1:11">
      <c r="A2868" t="s">
        <v>2837</v>
      </c>
      <c r="B2868">
        <v>437066</v>
      </c>
      <c r="C2868" s="2" t="str">
        <f>"304763021"</f>
        <v>304763021</v>
      </c>
      <c r="D2868" t="s">
        <v>2963</v>
      </c>
      <c r="E2868" t="s">
        <v>4</v>
      </c>
      <c r="F2868">
        <v>5.12</v>
      </c>
      <c r="H2868" t="s">
        <v>5</v>
      </c>
      <c r="I2868" s="1">
        <v>51.4</v>
      </c>
      <c r="J2868" s="1">
        <v>50.66</v>
      </c>
      <c r="K2868" t="s">
        <v>6</v>
      </c>
    </row>
    <row r="2869" spans="1:11">
      <c r="A2869" t="s">
        <v>2837</v>
      </c>
      <c r="B2869">
        <v>437067</v>
      </c>
      <c r="C2869" s="2" t="str">
        <f>"304763022"</f>
        <v>304763022</v>
      </c>
      <c r="D2869" t="s">
        <v>2964</v>
      </c>
      <c r="E2869" t="s">
        <v>4</v>
      </c>
      <c r="F2869">
        <v>5.48</v>
      </c>
      <c r="H2869" t="s">
        <v>5</v>
      </c>
      <c r="I2869" s="1">
        <v>51.4</v>
      </c>
      <c r="J2869" s="1">
        <v>50.66</v>
      </c>
      <c r="K2869" t="s">
        <v>6</v>
      </c>
    </row>
    <row r="2870" spans="1:11">
      <c r="A2870" t="s">
        <v>2837</v>
      </c>
      <c r="B2870">
        <v>437068</v>
      </c>
      <c r="C2870" s="2" t="str">
        <f>"304763023"</f>
        <v>304763023</v>
      </c>
      <c r="D2870" t="s">
        <v>2965</v>
      </c>
      <c r="E2870" t="s">
        <v>4</v>
      </c>
      <c r="F2870">
        <v>5.79</v>
      </c>
      <c r="H2870" t="s">
        <v>5</v>
      </c>
      <c r="I2870" s="1">
        <v>51.4</v>
      </c>
      <c r="J2870" s="1">
        <v>50.66</v>
      </c>
      <c r="K2870" t="s">
        <v>6</v>
      </c>
    </row>
    <row r="2871" spans="1:11">
      <c r="A2871" t="s">
        <v>2837</v>
      </c>
      <c r="B2871">
        <v>437069</v>
      </c>
      <c r="C2871" s="2" t="str">
        <f>"304763024"</f>
        <v>304763024</v>
      </c>
      <c r="D2871" t="s">
        <v>2966</v>
      </c>
      <c r="E2871" t="s">
        <v>4</v>
      </c>
      <c r="F2871">
        <v>6.24</v>
      </c>
      <c r="H2871" t="s">
        <v>5</v>
      </c>
      <c r="I2871" s="1">
        <v>56.38</v>
      </c>
      <c r="J2871" s="1">
        <v>55.58</v>
      </c>
      <c r="K2871" t="s">
        <v>6</v>
      </c>
    </row>
    <row r="2872" spans="1:11">
      <c r="A2872" t="s">
        <v>2837</v>
      </c>
      <c r="B2872">
        <v>438784</v>
      </c>
      <c r="C2872" s="2" t="str">
        <f>"304985021"</f>
        <v>304985021</v>
      </c>
      <c r="D2872" t="s">
        <v>2967</v>
      </c>
      <c r="E2872" t="s">
        <v>4</v>
      </c>
      <c r="F2872">
        <v>5.19</v>
      </c>
      <c r="H2872" t="s">
        <v>5</v>
      </c>
      <c r="I2872" s="1">
        <v>55.79</v>
      </c>
      <c r="J2872" s="1">
        <v>54.99</v>
      </c>
      <c r="K2872" t="s">
        <v>6</v>
      </c>
    </row>
    <row r="2873" spans="1:11">
      <c r="A2873" t="s">
        <v>2837</v>
      </c>
      <c r="B2873">
        <v>437070</v>
      </c>
      <c r="C2873" s="2" t="str">
        <f>"304985022"</f>
        <v>304985022</v>
      </c>
      <c r="D2873" t="s">
        <v>2968</v>
      </c>
      <c r="E2873" t="s">
        <v>4</v>
      </c>
      <c r="F2873">
        <v>5.58</v>
      </c>
      <c r="H2873" t="s">
        <v>5</v>
      </c>
      <c r="I2873" s="1">
        <v>75.2</v>
      </c>
      <c r="J2873" s="1">
        <v>74.13</v>
      </c>
      <c r="K2873" t="s">
        <v>6</v>
      </c>
    </row>
    <row r="2874" spans="1:11">
      <c r="A2874" t="s">
        <v>2837</v>
      </c>
      <c r="B2874">
        <v>437071</v>
      </c>
      <c r="C2874" s="2" t="str">
        <f>"304985025"</f>
        <v>304985025</v>
      </c>
      <c r="D2874" t="s">
        <v>2969</v>
      </c>
      <c r="E2874" t="s">
        <v>4</v>
      </c>
      <c r="F2874">
        <v>3.58</v>
      </c>
      <c r="H2874" t="s">
        <v>5</v>
      </c>
      <c r="I2874" s="1">
        <v>49.66</v>
      </c>
      <c r="J2874" s="1">
        <v>48.95</v>
      </c>
      <c r="K2874" t="s">
        <v>6</v>
      </c>
    </row>
    <row r="2875" spans="1:11">
      <c r="A2875" t="s">
        <v>2837</v>
      </c>
      <c r="B2875">
        <v>438801</v>
      </c>
      <c r="C2875" s="2" t="str">
        <f>"304985027"</f>
        <v>304985027</v>
      </c>
      <c r="D2875" t="s">
        <v>2970</v>
      </c>
      <c r="E2875" t="s">
        <v>4</v>
      </c>
      <c r="F2875">
        <v>2.67</v>
      </c>
      <c r="H2875" t="s">
        <v>5</v>
      </c>
      <c r="I2875" s="1">
        <v>46.58</v>
      </c>
      <c r="J2875" s="1">
        <v>45.92</v>
      </c>
      <c r="K2875" t="s">
        <v>6</v>
      </c>
    </row>
    <row r="2876" spans="1:11">
      <c r="A2876" t="s">
        <v>2837</v>
      </c>
      <c r="B2876">
        <v>438793</v>
      </c>
      <c r="C2876" s="2" t="str">
        <f>"304985030"</f>
        <v>304985030</v>
      </c>
      <c r="D2876" t="s">
        <v>2971</v>
      </c>
      <c r="E2876" t="s">
        <v>4</v>
      </c>
      <c r="F2876">
        <v>3.52</v>
      </c>
      <c r="H2876" t="s">
        <v>5</v>
      </c>
      <c r="I2876" s="1">
        <v>61.16</v>
      </c>
      <c r="J2876" s="1">
        <v>60.28</v>
      </c>
      <c r="K2876" t="s">
        <v>6</v>
      </c>
    </row>
    <row r="2877" spans="1:11">
      <c r="A2877" t="s">
        <v>2837</v>
      </c>
      <c r="B2877">
        <v>438732</v>
      </c>
      <c r="C2877" s="2" t="str">
        <f>"304985032"</f>
        <v>304985032</v>
      </c>
      <c r="D2877" t="s">
        <v>2972</v>
      </c>
      <c r="E2877" t="s">
        <v>4</v>
      </c>
      <c r="F2877">
        <v>3.98</v>
      </c>
      <c r="H2877" t="s">
        <v>5</v>
      </c>
      <c r="I2877" s="1">
        <v>62.81</v>
      </c>
      <c r="J2877" s="1">
        <v>61.91</v>
      </c>
      <c r="K2877" t="s">
        <v>6</v>
      </c>
    </row>
    <row r="2878" spans="1:11">
      <c r="A2878" t="s">
        <v>2837</v>
      </c>
      <c r="B2878">
        <v>438783</v>
      </c>
      <c r="C2878" s="2" t="str">
        <f>"304985033"</f>
        <v>304985033</v>
      </c>
      <c r="D2878" t="s">
        <v>2973</v>
      </c>
      <c r="E2878" t="s">
        <v>4</v>
      </c>
      <c r="F2878">
        <v>4.6500000000000004</v>
      </c>
      <c r="H2878" t="s">
        <v>5</v>
      </c>
      <c r="I2878" s="1">
        <v>64.75</v>
      </c>
      <c r="J2878" s="1">
        <v>63.82</v>
      </c>
      <c r="K2878" t="s">
        <v>6</v>
      </c>
    </row>
    <row r="2879" spans="1:11">
      <c r="A2879" t="s">
        <v>2837</v>
      </c>
      <c r="B2879">
        <v>437072</v>
      </c>
      <c r="C2879" s="2" t="str">
        <f>"304985034"</f>
        <v>304985034</v>
      </c>
      <c r="D2879" t="s">
        <v>2974</v>
      </c>
      <c r="E2879" t="s">
        <v>4</v>
      </c>
      <c r="F2879">
        <v>9.18</v>
      </c>
      <c r="H2879" t="s">
        <v>5</v>
      </c>
      <c r="I2879" s="1">
        <v>82.04</v>
      </c>
      <c r="J2879" s="1">
        <v>80.86</v>
      </c>
      <c r="K2879" t="s">
        <v>6</v>
      </c>
    </row>
    <row r="2880" spans="1:11">
      <c r="A2880" t="s">
        <v>2837</v>
      </c>
      <c r="B2880">
        <v>555655</v>
      </c>
      <c r="C2880" s="2" t="str">
        <f>"304985050"</f>
        <v>304985050</v>
      </c>
      <c r="D2880" t="s">
        <v>2975</v>
      </c>
      <c r="E2880" t="s">
        <v>4</v>
      </c>
      <c r="F2880">
        <v>2.42</v>
      </c>
      <c r="H2880" t="s">
        <v>5</v>
      </c>
      <c r="I2880" s="1">
        <v>27.17</v>
      </c>
      <c r="J2880" s="1">
        <v>26.78</v>
      </c>
      <c r="K2880" t="s">
        <v>6</v>
      </c>
    </row>
    <row r="2881" spans="1:11">
      <c r="A2881" t="s">
        <v>2837</v>
      </c>
      <c r="B2881">
        <v>437073</v>
      </c>
      <c r="C2881" s="2" t="str">
        <f>"304985110"</f>
        <v>304985110</v>
      </c>
      <c r="D2881" t="s">
        <v>2976</v>
      </c>
      <c r="E2881" t="s">
        <v>4</v>
      </c>
      <c r="F2881">
        <v>3.82</v>
      </c>
      <c r="H2881" t="s">
        <v>5</v>
      </c>
      <c r="I2881" s="1">
        <v>27.41</v>
      </c>
      <c r="J2881" s="1">
        <v>27.02</v>
      </c>
      <c r="K2881" t="s">
        <v>6</v>
      </c>
    </row>
    <row r="2882" spans="1:11">
      <c r="A2882" t="s">
        <v>2837</v>
      </c>
      <c r="B2882">
        <v>437074</v>
      </c>
      <c r="C2882" s="2" t="str">
        <f>"304985120"</f>
        <v>304985120</v>
      </c>
      <c r="D2882" t="s">
        <v>2977</v>
      </c>
      <c r="E2882" t="s">
        <v>4</v>
      </c>
      <c r="F2882">
        <v>5.05</v>
      </c>
      <c r="H2882" t="s">
        <v>5</v>
      </c>
      <c r="I2882" s="1">
        <v>39.92</v>
      </c>
      <c r="J2882" s="1">
        <v>39.35</v>
      </c>
      <c r="K2882" t="s">
        <v>6</v>
      </c>
    </row>
    <row r="2883" spans="1:11">
      <c r="A2883" t="s">
        <v>2837</v>
      </c>
      <c r="B2883">
        <v>437075</v>
      </c>
      <c r="C2883" s="2" t="str">
        <f>"304985130"</f>
        <v>304985130</v>
      </c>
      <c r="D2883" t="s">
        <v>2978</v>
      </c>
      <c r="E2883" t="s">
        <v>4</v>
      </c>
      <c r="F2883">
        <v>4.8499999999999996</v>
      </c>
      <c r="H2883" t="s">
        <v>5</v>
      </c>
      <c r="I2883" s="1">
        <v>35.64</v>
      </c>
      <c r="J2883" s="1">
        <v>35.130000000000003</v>
      </c>
      <c r="K2883" t="s">
        <v>6</v>
      </c>
    </row>
    <row r="2884" spans="1:11">
      <c r="A2884" t="s">
        <v>2837</v>
      </c>
      <c r="B2884">
        <v>437076</v>
      </c>
      <c r="C2884" s="2" t="str">
        <f>"304985135"</f>
        <v>304985135</v>
      </c>
      <c r="D2884" t="s">
        <v>2979</v>
      </c>
      <c r="E2884" t="s">
        <v>4</v>
      </c>
      <c r="F2884">
        <v>3.6</v>
      </c>
      <c r="H2884" t="s">
        <v>5</v>
      </c>
      <c r="I2884" s="1">
        <v>35.549999999999997</v>
      </c>
      <c r="J2884" s="1">
        <v>35.04</v>
      </c>
      <c r="K2884" t="s">
        <v>6</v>
      </c>
    </row>
    <row r="2885" spans="1:11">
      <c r="A2885" t="s">
        <v>2837</v>
      </c>
      <c r="B2885">
        <v>437077</v>
      </c>
      <c r="C2885" s="2" t="str">
        <f>"304985170"</f>
        <v>304985170</v>
      </c>
      <c r="D2885" t="s">
        <v>2980</v>
      </c>
      <c r="E2885" t="s">
        <v>4</v>
      </c>
      <c r="F2885">
        <v>3.66</v>
      </c>
      <c r="H2885" t="s">
        <v>5</v>
      </c>
      <c r="I2885" s="1">
        <v>40.61</v>
      </c>
      <c r="J2885" s="1">
        <v>40.03</v>
      </c>
      <c r="K2885" t="s">
        <v>6</v>
      </c>
    </row>
    <row r="2886" spans="1:11">
      <c r="A2886" t="s">
        <v>2837</v>
      </c>
      <c r="B2886">
        <v>438785</v>
      </c>
      <c r="C2886" s="2" t="str">
        <f>"304985171"</f>
        <v>304985171</v>
      </c>
      <c r="D2886" t="s">
        <v>2981</v>
      </c>
      <c r="E2886" t="s">
        <v>4</v>
      </c>
      <c r="F2886">
        <v>3.2</v>
      </c>
      <c r="H2886" t="s">
        <v>5</v>
      </c>
      <c r="I2886" s="1">
        <v>56.59</v>
      </c>
      <c r="J2886" s="1">
        <v>55.78</v>
      </c>
      <c r="K2886" t="s">
        <v>6</v>
      </c>
    </row>
    <row r="2887" spans="1:11">
      <c r="A2887" t="s">
        <v>2837</v>
      </c>
      <c r="B2887">
        <v>437078</v>
      </c>
      <c r="C2887" s="2" t="str">
        <f>"304985211"</f>
        <v>304985211</v>
      </c>
      <c r="D2887" t="s">
        <v>2982</v>
      </c>
      <c r="E2887" t="s">
        <v>4</v>
      </c>
      <c r="F2887">
        <v>3.94</v>
      </c>
      <c r="H2887" t="s">
        <v>5</v>
      </c>
      <c r="I2887" s="1">
        <v>36.770000000000003</v>
      </c>
      <c r="J2887" s="1">
        <v>36.24</v>
      </c>
      <c r="K2887" t="s">
        <v>6</v>
      </c>
    </row>
    <row r="2888" spans="1:11">
      <c r="A2888" t="s">
        <v>2837</v>
      </c>
      <c r="B2888">
        <v>437814</v>
      </c>
      <c r="C2888" s="2" t="str">
        <f>"304985220"</f>
        <v>304985220</v>
      </c>
      <c r="D2888" t="s">
        <v>2983</v>
      </c>
      <c r="E2888" t="s">
        <v>4</v>
      </c>
      <c r="F2888">
        <v>3.25</v>
      </c>
      <c r="H2888" t="s">
        <v>5</v>
      </c>
      <c r="I2888" s="1">
        <v>52.43</v>
      </c>
      <c r="J2888" s="1">
        <v>51.68</v>
      </c>
      <c r="K2888" t="s">
        <v>6</v>
      </c>
    </row>
    <row r="2889" spans="1:11">
      <c r="A2889" t="s">
        <v>2837</v>
      </c>
      <c r="B2889">
        <v>437079</v>
      </c>
      <c r="C2889" s="2" t="str">
        <f>"304985350"</f>
        <v>304985350</v>
      </c>
      <c r="D2889" t="s">
        <v>2984</v>
      </c>
      <c r="E2889" t="s">
        <v>4</v>
      </c>
      <c r="F2889">
        <v>5.23</v>
      </c>
      <c r="H2889" t="s">
        <v>5</v>
      </c>
      <c r="I2889" s="1">
        <v>35.409999999999997</v>
      </c>
      <c r="J2889" s="1">
        <v>34.909999999999997</v>
      </c>
      <c r="K2889" t="s">
        <v>6</v>
      </c>
    </row>
    <row r="2890" spans="1:11">
      <c r="A2890" t="s">
        <v>2837</v>
      </c>
      <c r="B2890">
        <v>437080</v>
      </c>
      <c r="C2890" s="2" t="str">
        <f>"304985351"</f>
        <v>304985351</v>
      </c>
      <c r="D2890" t="s">
        <v>2985</v>
      </c>
      <c r="E2890" t="s">
        <v>4</v>
      </c>
      <c r="F2890">
        <v>1.93</v>
      </c>
      <c r="H2890" t="s">
        <v>5</v>
      </c>
      <c r="I2890" s="1">
        <v>25.38</v>
      </c>
      <c r="J2890" s="1">
        <v>25.01</v>
      </c>
      <c r="K2890" t="s">
        <v>6</v>
      </c>
    </row>
    <row r="2891" spans="1:11">
      <c r="A2891" t="s">
        <v>2837</v>
      </c>
      <c r="B2891">
        <v>437081</v>
      </c>
      <c r="C2891" s="2" t="str">
        <f>"304985352"</f>
        <v>304985352</v>
      </c>
      <c r="D2891" t="s">
        <v>2986</v>
      </c>
      <c r="E2891" t="s">
        <v>4</v>
      </c>
      <c r="F2891">
        <v>8.5</v>
      </c>
      <c r="H2891" t="s">
        <v>5</v>
      </c>
      <c r="I2891" s="1">
        <v>44.8</v>
      </c>
      <c r="J2891" s="1">
        <v>44.16</v>
      </c>
      <c r="K2891" t="s">
        <v>6</v>
      </c>
    </row>
    <row r="2892" spans="1:11">
      <c r="A2892" t="s">
        <v>2837</v>
      </c>
      <c r="B2892">
        <v>438865</v>
      </c>
      <c r="C2892" s="2" t="str">
        <f>"304985353"</f>
        <v>304985353</v>
      </c>
      <c r="D2892" t="s">
        <v>2987</v>
      </c>
      <c r="E2892" t="s">
        <v>4</v>
      </c>
      <c r="F2892">
        <v>6.34</v>
      </c>
      <c r="H2892" t="s">
        <v>5</v>
      </c>
      <c r="I2892" s="1">
        <v>33.5</v>
      </c>
      <c r="J2892" s="1">
        <v>33.020000000000003</v>
      </c>
      <c r="K2892" t="s">
        <v>6</v>
      </c>
    </row>
    <row r="2893" spans="1:11">
      <c r="A2893" t="s">
        <v>2837</v>
      </c>
      <c r="B2893">
        <v>437082</v>
      </c>
      <c r="C2893" s="2" t="str">
        <f>"304985354"</f>
        <v>304985354</v>
      </c>
      <c r="D2893" t="s">
        <v>2988</v>
      </c>
      <c r="E2893" t="s">
        <v>4</v>
      </c>
      <c r="F2893">
        <v>2.81</v>
      </c>
      <c r="H2893" t="s">
        <v>5</v>
      </c>
      <c r="I2893" s="1">
        <v>22.18</v>
      </c>
      <c r="J2893" s="1">
        <v>21.87</v>
      </c>
      <c r="K2893" t="s">
        <v>6</v>
      </c>
    </row>
    <row r="2894" spans="1:11">
      <c r="A2894" t="s">
        <v>2837</v>
      </c>
      <c r="B2894">
        <v>437083</v>
      </c>
      <c r="C2894" s="2" t="str">
        <f>"304985356"</f>
        <v>304985356</v>
      </c>
      <c r="D2894" t="s">
        <v>2989</v>
      </c>
      <c r="E2894" t="s">
        <v>4</v>
      </c>
      <c r="F2894">
        <v>6.25</v>
      </c>
      <c r="H2894" t="s">
        <v>5</v>
      </c>
      <c r="I2894" s="1">
        <v>40.04</v>
      </c>
      <c r="J2894" s="1">
        <v>39.47</v>
      </c>
      <c r="K2894" t="s">
        <v>6</v>
      </c>
    </row>
    <row r="2895" spans="1:11">
      <c r="A2895" t="s">
        <v>2837</v>
      </c>
      <c r="B2895">
        <v>439373</v>
      </c>
      <c r="C2895" s="2" t="str">
        <f>"304985357"</f>
        <v>304985357</v>
      </c>
      <c r="D2895" t="s">
        <v>2990</v>
      </c>
      <c r="E2895" t="s">
        <v>4</v>
      </c>
      <c r="F2895">
        <v>4.0999999999999996</v>
      </c>
      <c r="H2895" t="s">
        <v>5</v>
      </c>
      <c r="I2895" s="1">
        <v>34.6</v>
      </c>
      <c r="J2895" s="1">
        <v>34.1</v>
      </c>
      <c r="K2895" t="s">
        <v>6</v>
      </c>
    </row>
    <row r="2896" spans="1:11">
      <c r="A2896" t="s">
        <v>2837</v>
      </c>
      <c r="B2896">
        <v>437084</v>
      </c>
      <c r="C2896" s="2" t="str">
        <f>"304985358"</f>
        <v>304985358</v>
      </c>
      <c r="D2896" t="s">
        <v>2991</v>
      </c>
      <c r="E2896" t="s">
        <v>4</v>
      </c>
      <c r="F2896">
        <v>1.78</v>
      </c>
      <c r="H2896" t="s">
        <v>5</v>
      </c>
      <c r="I2896" s="1">
        <v>17.010000000000002</v>
      </c>
      <c r="J2896" s="1">
        <v>16.77</v>
      </c>
      <c r="K2896" t="s">
        <v>6</v>
      </c>
    </row>
    <row r="2897" spans="1:11">
      <c r="A2897" t="s">
        <v>2837</v>
      </c>
      <c r="B2897">
        <v>437089</v>
      </c>
      <c r="C2897" s="2" t="str">
        <f>"304985361"</f>
        <v>304985361</v>
      </c>
      <c r="D2897" t="s">
        <v>2992</v>
      </c>
      <c r="E2897" t="s">
        <v>4</v>
      </c>
      <c r="F2897">
        <v>16.399999999999999</v>
      </c>
      <c r="H2897" t="s">
        <v>5</v>
      </c>
      <c r="I2897" s="1">
        <v>59.63</v>
      </c>
      <c r="J2897" s="1">
        <v>58.77</v>
      </c>
      <c r="K2897" t="s">
        <v>6</v>
      </c>
    </row>
    <row r="2898" spans="1:11">
      <c r="A2898" t="s">
        <v>2837</v>
      </c>
      <c r="B2898">
        <v>451190</v>
      </c>
      <c r="C2898" s="2" t="str">
        <f>"304985370"</f>
        <v>304985370</v>
      </c>
      <c r="D2898" t="s">
        <v>2993</v>
      </c>
      <c r="E2898" t="s">
        <v>4</v>
      </c>
      <c r="F2898">
        <v>16.36</v>
      </c>
      <c r="H2898" t="s">
        <v>5</v>
      </c>
      <c r="I2898" s="1">
        <v>50.75</v>
      </c>
      <c r="J2898" s="1">
        <v>50.02</v>
      </c>
      <c r="K2898" t="s">
        <v>6</v>
      </c>
    </row>
    <row r="2899" spans="1:11">
      <c r="A2899" t="s">
        <v>2837</v>
      </c>
      <c r="B2899">
        <v>507845</v>
      </c>
      <c r="C2899" s="2" t="str">
        <f>"304985389"</f>
        <v>304985389</v>
      </c>
      <c r="D2899" t="s">
        <v>2994</v>
      </c>
      <c r="E2899" t="s">
        <v>4</v>
      </c>
      <c r="F2899">
        <v>4.58</v>
      </c>
      <c r="H2899" t="s">
        <v>5</v>
      </c>
      <c r="I2899" s="1">
        <v>25.73</v>
      </c>
      <c r="J2899" s="1">
        <v>25.36</v>
      </c>
      <c r="K2899" t="s">
        <v>6</v>
      </c>
    </row>
    <row r="2900" spans="1:11">
      <c r="A2900" t="s">
        <v>2837</v>
      </c>
      <c r="B2900">
        <v>542683</v>
      </c>
      <c r="C2900" s="2" t="str">
        <f>"304985495"</f>
        <v>304985495</v>
      </c>
      <c r="D2900" t="s">
        <v>2995</v>
      </c>
      <c r="E2900" t="s">
        <v>4</v>
      </c>
      <c r="F2900">
        <v>7.11</v>
      </c>
      <c r="H2900" t="s">
        <v>5</v>
      </c>
      <c r="I2900" s="1">
        <v>29.15</v>
      </c>
      <c r="J2900" s="1">
        <v>28.73</v>
      </c>
      <c r="K2900" t="s">
        <v>6</v>
      </c>
    </row>
    <row r="2901" spans="1:11">
      <c r="A2901" t="s">
        <v>2837</v>
      </c>
      <c r="B2901">
        <v>565846</v>
      </c>
      <c r="C2901" s="2" t="str">
        <f>"304985610"</f>
        <v>304985610</v>
      </c>
      <c r="D2901" t="s">
        <v>2996</v>
      </c>
      <c r="E2901" t="s">
        <v>4</v>
      </c>
      <c r="F2901">
        <v>1.81</v>
      </c>
      <c r="H2901" t="s">
        <v>5</v>
      </c>
      <c r="I2901" s="1">
        <v>16.57</v>
      </c>
      <c r="J2901" s="1">
        <v>16.329999999999998</v>
      </c>
      <c r="K2901" t="s">
        <v>6</v>
      </c>
    </row>
    <row r="2902" spans="1:11">
      <c r="A2902" t="s">
        <v>2837</v>
      </c>
      <c r="B2902">
        <v>565847</v>
      </c>
      <c r="C2902" s="2" t="str">
        <f>"304985620"</f>
        <v>304985620</v>
      </c>
      <c r="D2902" t="s">
        <v>2997</v>
      </c>
      <c r="E2902" t="s">
        <v>4</v>
      </c>
      <c r="F2902">
        <v>2.91</v>
      </c>
      <c r="H2902" t="s">
        <v>5</v>
      </c>
      <c r="I2902" s="1">
        <v>22.4</v>
      </c>
      <c r="J2902" s="1">
        <v>22.07</v>
      </c>
      <c r="K2902" t="s">
        <v>6</v>
      </c>
    </row>
    <row r="2903" spans="1:11">
      <c r="A2903" t="s">
        <v>2998</v>
      </c>
      <c r="B2903">
        <v>476086</v>
      </c>
      <c r="C2903" s="2" t="str">
        <f>"11203"</f>
        <v>11203</v>
      </c>
      <c r="D2903" t="s">
        <v>2999</v>
      </c>
      <c r="E2903" t="s">
        <v>4</v>
      </c>
      <c r="F2903">
        <v>7.3</v>
      </c>
      <c r="H2903" t="s">
        <v>5</v>
      </c>
      <c r="I2903" s="1">
        <v>31.4</v>
      </c>
      <c r="J2903" s="1">
        <v>31.24</v>
      </c>
      <c r="K2903" t="s">
        <v>6</v>
      </c>
    </row>
    <row r="2904" spans="1:11">
      <c r="A2904" t="s">
        <v>2998</v>
      </c>
      <c r="B2904">
        <v>476077</v>
      </c>
      <c r="C2904" s="2" t="str">
        <f>"11205"</f>
        <v>11205</v>
      </c>
      <c r="D2904" t="s">
        <v>3000</v>
      </c>
      <c r="E2904" t="s">
        <v>4</v>
      </c>
      <c r="F2904">
        <v>8.94</v>
      </c>
      <c r="H2904" t="s">
        <v>5</v>
      </c>
      <c r="I2904" s="1">
        <v>38.619999999999997</v>
      </c>
      <c r="J2904" s="1">
        <v>38.43</v>
      </c>
      <c r="K2904" t="s">
        <v>6</v>
      </c>
    </row>
    <row r="2905" spans="1:11">
      <c r="A2905" t="s">
        <v>2998</v>
      </c>
      <c r="B2905">
        <v>476089</v>
      </c>
      <c r="C2905" s="2" t="str">
        <f>"11803"</f>
        <v>11803</v>
      </c>
      <c r="D2905" t="s">
        <v>3001</v>
      </c>
      <c r="E2905" t="s">
        <v>4</v>
      </c>
      <c r="F2905">
        <v>10.76</v>
      </c>
      <c r="H2905" t="s">
        <v>5</v>
      </c>
      <c r="I2905" s="1">
        <v>49.43</v>
      </c>
      <c r="J2905" s="1">
        <v>49.18</v>
      </c>
      <c r="K2905" t="s">
        <v>6</v>
      </c>
    </row>
    <row r="2906" spans="1:11">
      <c r="A2906" t="s">
        <v>2998</v>
      </c>
      <c r="B2906">
        <v>476081</v>
      </c>
      <c r="C2906" s="2" t="str">
        <f>"11805"</f>
        <v>11805</v>
      </c>
      <c r="D2906" t="s">
        <v>3002</v>
      </c>
      <c r="E2906" t="s">
        <v>4</v>
      </c>
      <c r="F2906">
        <v>13.53</v>
      </c>
      <c r="H2906" t="s">
        <v>5</v>
      </c>
      <c r="I2906" s="1">
        <v>57.55</v>
      </c>
      <c r="J2906" s="1">
        <v>57.27</v>
      </c>
      <c r="K2906" t="s">
        <v>6</v>
      </c>
    </row>
    <row r="2907" spans="1:11">
      <c r="A2907" t="s">
        <v>2998</v>
      </c>
      <c r="B2907">
        <v>476090</v>
      </c>
      <c r="C2907" s="2" t="str">
        <f>"11807"</f>
        <v>11807</v>
      </c>
      <c r="D2907" t="s">
        <v>3003</v>
      </c>
      <c r="E2907" t="s">
        <v>4</v>
      </c>
      <c r="F2907">
        <v>16.29</v>
      </c>
      <c r="H2907" t="s">
        <v>5</v>
      </c>
      <c r="I2907" s="1">
        <v>71.709999999999994</v>
      </c>
      <c r="J2907" s="1">
        <v>71.34</v>
      </c>
      <c r="K2907" t="s">
        <v>6</v>
      </c>
    </row>
    <row r="2908" spans="1:11">
      <c r="A2908" t="s">
        <v>2998</v>
      </c>
      <c r="B2908">
        <v>476082</v>
      </c>
      <c r="C2908" s="2" t="str">
        <f>"11808"</f>
        <v>11808</v>
      </c>
      <c r="D2908" t="s">
        <v>3004</v>
      </c>
      <c r="E2908" t="s">
        <v>4</v>
      </c>
      <c r="F2908">
        <v>19.600000000000001</v>
      </c>
      <c r="H2908" t="s">
        <v>5</v>
      </c>
      <c r="I2908" s="1">
        <v>82.42</v>
      </c>
      <c r="J2908" s="1">
        <v>82</v>
      </c>
      <c r="K2908" t="s">
        <v>6</v>
      </c>
    </row>
    <row r="2909" spans="1:11">
      <c r="A2909" t="s">
        <v>2998</v>
      </c>
      <c r="B2909">
        <v>563935</v>
      </c>
      <c r="C2909" s="2" t="str">
        <f>"1225"</f>
        <v>1225</v>
      </c>
      <c r="D2909" t="s">
        <v>3005</v>
      </c>
      <c r="E2909" t="s">
        <v>4</v>
      </c>
      <c r="F2909">
        <v>8.4</v>
      </c>
      <c r="H2909" t="s">
        <v>5</v>
      </c>
      <c r="I2909" s="1">
        <v>37.18</v>
      </c>
      <c r="J2909" s="1">
        <v>37</v>
      </c>
      <c r="K2909" t="s">
        <v>6</v>
      </c>
    </row>
    <row r="2910" spans="1:11">
      <c r="A2910" t="s">
        <v>2998</v>
      </c>
      <c r="B2910">
        <v>476083</v>
      </c>
      <c r="C2910" s="2" t="str">
        <f>"12408"</f>
        <v>12408</v>
      </c>
      <c r="D2910" t="s">
        <v>3006</v>
      </c>
      <c r="E2910" t="s">
        <v>4</v>
      </c>
      <c r="F2910">
        <v>25.3</v>
      </c>
      <c r="H2910" t="s">
        <v>5</v>
      </c>
      <c r="I2910" s="1">
        <v>125.52</v>
      </c>
      <c r="J2910" s="1">
        <v>124.89</v>
      </c>
      <c r="K2910" t="s">
        <v>6</v>
      </c>
    </row>
    <row r="2911" spans="1:11">
      <c r="A2911" t="s">
        <v>2998</v>
      </c>
      <c r="B2911">
        <v>476136</v>
      </c>
      <c r="C2911" s="2" t="str">
        <f>"2012-80-25"</f>
        <v>2012-80-25</v>
      </c>
      <c r="D2911" t="s">
        <v>3007</v>
      </c>
      <c r="E2911" t="s">
        <v>4</v>
      </c>
      <c r="F2911">
        <v>5.5</v>
      </c>
      <c r="H2911" t="s">
        <v>5</v>
      </c>
      <c r="I2911" s="1">
        <v>33.76</v>
      </c>
      <c r="J2911" s="1">
        <v>33.590000000000003</v>
      </c>
      <c r="K2911" t="s">
        <v>6</v>
      </c>
    </row>
    <row r="2912" spans="1:11">
      <c r="A2912" t="s">
        <v>2998</v>
      </c>
      <c r="B2912">
        <v>476142</v>
      </c>
      <c r="C2912" s="2" t="str">
        <f>"2012DL-25"</f>
        <v>2012DL-25</v>
      </c>
      <c r="D2912" t="s">
        <v>3008</v>
      </c>
      <c r="E2912" t="s">
        <v>4</v>
      </c>
      <c r="F2912">
        <v>4.84</v>
      </c>
      <c r="H2912" t="s">
        <v>5</v>
      </c>
      <c r="I2912" s="1">
        <v>23.67</v>
      </c>
      <c r="J2912" s="1">
        <v>23.56</v>
      </c>
      <c r="K2912" t="s">
        <v>6</v>
      </c>
    </row>
    <row r="2913" spans="1:11">
      <c r="A2913" t="s">
        <v>2998</v>
      </c>
      <c r="B2913">
        <v>476137</v>
      </c>
      <c r="C2913" s="2" t="str">
        <f>"2013-100-25"</f>
        <v>2013-100-25</v>
      </c>
      <c r="D2913" t="s">
        <v>3009</v>
      </c>
      <c r="E2913" t="s">
        <v>4</v>
      </c>
      <c r="F2913">
        <v>6.68</v>
      </c>
      <c r="H2913" t="s">
        <v>5</v>
      </c>
      <c r="I2913" s="1">
        <v>39.83</v>
      </c>
      <c r="J2913" s="1">
        <v>39.64</v>
      </c>
      <c r="K2913" t="s">
        <v>6</v>
      </c>
    </row>
    <row r="2914" spans="1:11">
      <c r="A2914" t="s">
        <v>2998</v>
      </c>
      <c r="B2914">
        <v>476127</v>
      </c>
      <c r="C2914" s="2" t="str">
        <f>"2014-50-100"</f>
        <v>2014-50-100</v>
      </c>
      <c r="D2914" t="s">
        <v>3010</v>
      </c>
      <c r="E2914" t="s">
        <v>4</v>
      </c>
      <c r="F2914">
        <v>14.5</v>
      </c>
      <c r="H2914" t="s">
        <v>5</v>
      </c>
      <c r="I2914" s="1">
        <v>94.55</v>
      </c>
      <c r="J2914" s="1">
        <v>94.07</v>
      </c>
      <c r="K2914" t="s">
        <v>6</v>
      </c>
    </row>
    <row r="2915" spans="1:11">
      <c r="A2915" t="s">
        <v>2998</v>
      </c>
      <c r="B2915">
        <v>488300</v>
      </c>
      <c r="C2915" s="2" t="str">
        <f>"2019-00-50"</f>
        <v>2019-00-50</v>
      </c>
      <c r="D2915" t="s">
        <v>3011</v>
      </c>
      <c r="E2915" t="s">
        <v>4</v>
      </c>
      <c r="F2915">
        <v>14.35</v>
      </c>
      <c r="H2915" t="s">
        <v>5</v>
      </c>
      <c r="I2915" s="1">
        <v>56.75</v>
      </c>
      <c r="J2915" s="1">
        <v>56.46</v>
      </c>
      <c r="K2915" t="s">
        <v>6</v>
      </c>
    </row>
    <row r="2916" spans="1:11">
      <c r="A2916" t="s">
        <v>2998</v>
      </c>
      <c r="B2916">
        <v>476128</v>
      </c>
      <c r="C2916" s="2" t="str">
        <f>"2019-70-50"</f>
        <v>2019-70-50</v>
      </c>
      <c r="D2916" t="s">
        <v>3012</v>
      </c>
      <c r="E2916" t="s">
        <v>4</v>
      </c>
      <c r="F2916">
        <v>15.5</v>
      </c>
      <c r="H2916" t="s">
        <v>5</v>
      </c>
      <c r="I2916" s="1">
        <v>60.68</v>
      </c>
      <c r="J2916" s="1">
        <v>60.37</v>
      </c>
      <c r="K2916" t="s">
        <v>6</v>
      </c>
    </row>
    <row r="2917" spans="1:11">
      <c r="A2917" t="s">
        <v>2998</v>
      </c>
      <c r="B2917">
        <v>476107</v>
      </c>
      <c r="C2917" s="2" t="str">
        <f>"2045-35-250W"</f>
        <v>2045-35-250W</v>
      </c>
      <c r="D2917" t="s">
        <v>3013</v>
      </c>
      <c r="E2917" t="s">
        <v>4</v>
      </c>
      <c r="F2917">
        <v>17.420000000000002</v>
      </c>
      <c r="H2917" t="s">
        <v>5</v>
      </c>
      <c r="I2917" s="1">
        <v>79.38</v>
      </c>
      <c r="J2917" s="1">
        <v>78.98</v>
      </c>
      <c r="K2917" t="s">
        <v>6</v>
      </c>
    </row>
    <row r="2918" spans="1:11">
      <c r="A2918" t="s">
        <v>2998</v>
      </c>
      <c r="B2918">
        <v>505114</v>
      </c>
      <c r="C2918" s="2" t="str">
        <f>"2046-00-200W"</f>
        <v>2046-00-200W</v>
      </c>
      <c r="D2918" t="s">
        <v>3014</v>
      </c>
      <c r="E2918" t="s">
        <v>4</v>
      </c>
      <c r="F2918">
        <v>13.87</v>
      </c>
      <c r="H2918" t="s">
        <v>5</v>
      </c>
      <c r="I2918" s="1">
        <v>51.22</v>
      </c>
      <c r="J2918" s="1">
        <v>50.97</v>
      </c>
      <c r="K2918" t="s">
        <v>6</v>
      </c>
    </row>
    <row r="2919" spans="1:11">
      <c r="A2919" t="s">
        <v>2998</v>
      </c>
      <c r="B2919">
        <v>491756</v>
      </c>
      <c r="C2919" s="2" t="str">
        <f>"2046-00-500"</f>
        <v>2046-00-500</v>
      </c>
      <c r="D2919" t="s">
        <v>3015</v>
      </c>
      <c r="E2919" t="s">
        <v>4</v>
      </c>
      <c r="F2919">
        <v>16.37</v>
      </c>
      <c r="H2919" t="s">
        <v>5</v>
      </c>
      <c r="I2919" s="1">
        <v>73.319999999999993</v>
      </c>
      <c r="J2919" s="1">
        <v>72.959999999999994</v>
      </c>
      <c r="K2919" t="s">
        <v>6</v>
      </c>
    </row>
    <row r="2920" spans="1:11">
      <c r="A2920" t="s">
        <v>2998</v>
      </c>
      <c r="B2920">
        <v>476756</v>
      </c>
      <c r="C2920" s="2" t="str">
        <f>"2046-30-200W"</f>
        <v>2046-30-200W</v>
      </c>
      <c r="D2920" t="s">
        <v>3016</v>
      </c>
      <c r="E2920" t="s">
        <v>4</v>
      </c>
      <c r="F2920">
        <v>15</v>
      </c>
      <c r="H2920" t="s">
        <v>5</v>
      </c>
      <c r="I2920" s="1">
        <v>55.35</v>
      </c>
      <c r="J2920" s="1">
        <v>55.08</v>
      </c>
      <c r="K2920" t="s">
        <v>6</v>
      </c>
    </row>
    <row r="2921" spans="1:11">
      <c r="A2921" t="s">
        <v>2998</v>
      </c>
      <c r="B2921">
        <v>476120</v>
      </c>
      <c r="C2921" s="2" t="str">
        <f>"2046-30-250W"</f>
        <v>2046-30-250W</v>
      </c>
      <c r="D2921" t="s">
        <v>3017</v>
      </c>
      <c r="E2921" t="s">
        <v>4</v>
      </c>
      <c r="F2921">
        <v>18</v>
      </c>
      <c r="H2921" t="s">
        <v>5</v>
      </c>
      <c r="I2921" s="1">
        <v>82.39</v>
      </c>
      <c r="J2921" s="1">
        <v>81.98</v>
      </c>
      <c r="K2921" t="s">
        <v>6</v>
      </c>
    </row>
    <row r="2922" spans="1:11">
      <c r="A2922" t="s">
        <v>2998</v>
      </c>
      <c r="B2922">
        <v>476757</v>
      </c>
      <c r="C2922" s="2" t="str">
        <f>"2046-30-250WDL"</f>
        <v>2046-30-250WDL</v>
      </c>
      <c r="D2922" t="s">
        <v>3018</v>
      </c>
      <c r="E2922" t="s">
        <v>4</v>
      </c>
      <c r="F2922">
        <v>16</v>
      </c>
      <c r="H2922" t="s">
        <v>5</v>
      </c>
      <c r="I2922" s="1">
        <v>72.59</v>
      </c>
      <c r="J2922" s="1">
        <v>72.23</v>
      </c>
      <c r="K2922" t="s">
        <v>6</v>
      </c>
    </row>
    <row r="2923" spans="1:11">
      <c r="A2923" t="s">
        <v>2998</v>
      </c>
      <c r="B2923">
        <v>476110</v>
      </c>
      <c r="C2923" s="2" t="str">
        <f>"2046-30-500"</f>
        <v>2046-30-500</v>
      </c>
      <c r="D2923" t="s">
        <v>3019</v>
      </c>
      <c r="E2923" t="s">
        <v>4</v>
      </c>
      <c r="F2923">
        <v>19.2</v>
      </c>
      <c r="H2923" t="s">
        <v>5</v>
      </c>
      <c r="I2923" s="1">
        <v>79.05</v>
      </c>
      <c r="J2923" s="1">
        <v>78.66</v>
      </c>
      <c r="K2923" t="s">
        <v>6</v>
      </c>
    </row>
    <row r="2924" spans="1:11">
      <c r="A2924" t="s">
        <v>2998</v>
      </c>
      <c r="B2924">
        <v>476114</v>
      </c>
      <c r="C2924" s="2" t="str">
        <f>"2046DL-500"</f>
        <v>2046DL-500</v>
      </c>
      <c r="D2924" t="s">
        <v>3020</v>
      </c>
      <c r="E2924" t="s">
        <v>4</v>
      </c>
      <c r="F2924">
        <v>10.46</v>
      </c>
      <c r="H2924" t="s">
        <v>5</v>
      </c>
      <c r="I2924" s="1">
        <v>36.619999999999997</v>
      </c>
      <c r="J2924" s="1">
        <v>36.44</v>
      </c>
      <c r="K2924" t="s">
        <v>6</v>
      </c>
    </row>
    <row r="2925" spans="1:11">
      <c r="A2925" t="s">
        <v>2998</v>
      </c>
      <c r="B2925">
        <v>476117</v>
      </c>
      <c r="C2925" s="2" t="str">
        <f>"2046L-500"</f>
        <v>2046L-500</v>
      </c>
      <c r="D2925" t="s">
        <v>3021</v>
      </c>
      <c r="E2925" t="s">
        <v>4</v>
      </c>
      <c r="F2925">
        <v>14.72</v>
      </c>
      <c r="H2925" t="s">
        <v>5</v>
      </c>
      <c r="I2925" s="1">
        <v>38.74</v>
      </c>
      <c r="J2925" s="1">
        <v>38.549999999999997</v>
      </c>
      <c r="K2925" t="s">
        <v>6</v>
      </c>
    </row>
    <row r="2926" spans="1:11">
      <c r="A2926" t="s">
        <v>2998</v>
      </c>
      <c r="B2926">
        <v>505117</v>
      </c>
      <c r="C2926" s="2" t="str">
        <f>"2047-00-200W"</f>
        <v>2047-00-200W</v>
      </c>
      <c r="D2926" t="s">
        <v>3022</v>
      </c>
      <c r="E2926" t="s">
        <v>4</v>
      </c>
      <c r="F2926">
        <v>8.19</v>
      </c>
      <c r="H2926" t="s">
        <v>5</v>
      </c>
      <c r="I2926" s="1">
        <v>34.479999999999997</v>
      </c>
      <c r="J2926" s="1">
        <v>34.31</v>
      </c>
      <c r="K2926" t="s">
        <v>6</v>
      </c>
    </row>
    <row r="2927" spans="1:11">
      <c r="A2927" t="s">
        <v>2998</v>
      </c>
      <c r="B2927">
        <v>476121</v>
      </c>
      <c r="C2927" s="2" t="str">
        <f>"2047-25-200W"</f>
        <v>2047-25-200W</v>
      </c>
      <c r="D2927" t="s">
        <v>3023</v>
      </c>
      <c r="E2927" t="s">
        <v>4</v>
      </c>
      <c r="F2927">
        <v>8.5</v>
      </c>
      <c r="H2927" t="s">
        <v>5</v>
      </c>
      <c r="I2927" s="1">
        <v>39.56</v>
      </c>
      <c r="J2927" s="1">
        <v>39.36</v>
      </c>
      <c r="K2927" t="s">
        <v>6</v>
      </c>
    </row>
    <row r="2928" spans="1:11">
      <c r="A2928" t="s">
        <v>2998</v>
      </c>
      <c r="B2928">
        <v>476122</v>
      </c>
      <c r="C2928" s="2" t="str">
        <f>"2047-25-250W"</f>
        <v>2047-25-250W</v>
      </c>
      <c r="D2928" t="s">
        <v>3024</v>
      </c>
      <c r="E2928" t="s">
        <v>4</v>
      </c>
      <c r="F2928">
        <v>10.5</v>
      </c>
      <c r="H2928" t="s">
        <v>5</v>
      </c>
      <c r="I2928" s="1">
        <v>56.55</v>
      </c>
      <c r="J2928" s="1">
        <v>56.28</v>
      </c>
      <c r="K2928" t="s">
        <v>6</v>
      </c>
    </row>
    <row r="2929" spans="1:11">
      <c r="A2929" t="s">
        <v>2998</v>
      </c>
      <c r="B2929">
        <v>476111</v>
      </c>
      <c r="C2929" s="2" t="str">
        <f>"2047-25-500"</f>
        <v>2047-25-500</v>
      </c>
      <c r="D2929" t="s">
        <v>3025</v>
      </c>
      <c r="E2929" t="s">
        <v>4</v>
      </c>
      <c r="F2929">
        <v>10.86</v>
      </c>
      <c r="H2929" t="s">
        <v>5</v>
      </c>
      <c r="I2929" s="1">
        <v>45.94</v>
      </c>
      <c r="J2929" s="1">
        <v>45.71</v>
      </c>
      <c r="K2929" t="s">
        <v>6</v>
      </c>
    </row>
    <row r="2930" spans="1:11">
      <c r="A2930" t="s">
        <v>2998</v>
      </c>
      <c r="B2930">
        <v>476112</v>
      </c>
      <c r="C2930" s="2" t="str">
        <f>"2047-30-500"</f>
        <v>2047-30-500</v>
      </c>
      <c r="D2930" t="s">
        <v>3026</v>
      </c>
      <c r="E2930" t="s">
        <v>4</v>
      </c>
      <c r="F2930">
        <v>12.7</v>
      </c>
      <c r="H2930" t="s">
        <v>5</v>
      </c>
      <c r="I2930" s="1">
        <v>54.67</v>
      </c>
      <c r="J2930" s="1">
        <v>54.39</v>
      </c>
      <c r="K2930" t="s">
        <v>6</v>
      </c>
    </row>
    <row r="2931" spans="1:11">
      <c r="A2931" t="s">
        <v>2998</v>
      </c>
      <c r="B2931">
        <v>476115</v>
      </c>
      <c r="C2931" s="2" t="str">
        <f>"2047DL-500"</f>
        <v>2047DL-500</v>
      </c>
      <c r="D2931" t="s">
        <v>3027</v>
      </c>
      <c r="E2931" t="s">
        <v>4</v>
      </c>
      <c r="F2931">
        <v>6.6</v>
      </c>
      <c r="H2931" t="s">
        <v>5</v>
      </c>
      <c r="I2931" s="1">
        <v>21.98</v>
      </c>
      <c r="J2931" s="1">
        <v>21.87</v>
      </c>
      <c r="K2931" t="s">
        <v>6</v>
      </c>
    </row>
    <row r="2932" spans="1:11">
      <c r="A2932" t="s">
        <v>2998</v>
      </c>
      <c r="B2932">
        <v>476118</v>
      </c>
      <c r="C2932" s="2" t="str">
        <f>"2047L-500"</f>
        <v>2047L-500</v>
      </c>
      <c r="D2932" t="s">
        <v>3028</v>
      </c>
      <c r="E2932" t="s">
        <v>4</v>
      </c>
      <c r="F2932">
        <v>10.92</v>
      </c>
      <c r="H2932" t="s">
        <v>5</v>
      </c>
      <c r="I2932" s="1">
        <v>26.25</v>
      </c>
      <c r="J2932" s="1">
        <v>26.12</v>
      </c>
      <c r="K2932" t="s">
        <v>6</v>
      </c>
    </row>
    <row r="2933" spans="1:11">
      <c r="A2933" t="s">
        <v>2998</v>
      </c>
      <c r="B2933">
        <v>504597</v>
      </c>
      <c r="C2933" s="2" t="str">
        <f>"2049-00-100"</f>
        <v>2049-00-100</v>
      </c>
      <c r="D2933" t="s">
        <v>3029</v>
      </c>
      <c r="E2933" t="s">
        <v>4</v>
      </c>
      <c r="F2933">
        <v>4.75</v>
      </c>
      <c r="H2933" t="s">
        <v>5</v>
      </c>
      <c r="I2933" s="1">
        <v>24.91</v>
      </c>
      <c r="J2933" s="1">
        <v>24.78</v>
      </c>
      <c r="K2933" t="s">
        <v>6</v>
      </c>
    </row>
    <row r="2934" spans="1:11">
      <c r="A2934" t="s">
        <v>2998</v>
      </c>
      <c r="B2934">
        <v>476134</v>
      </c>
      <c r="C2934" s="2" t="str">
        <f>"2049-30-100"</f>
        <v>2049-30-100</v>
      </c>
      <c r="D2934" t="s">
        <v>3030</v>
      </c>
      <c r="E2934" t="s">
        <v>4</v>
      </c>
      <c r="F2934">
        <v>5.63</v>
      </c>
      <c r="H2934" t="s">
        <v>5</v>
      </c>
      <c r="I2934" s="1">
        <v>26.52</v>
      </c>
      <c r="J2934" s="1">
        <v>26.39</v>
      </c>
      <c r="K2934" t="s">
        <v>6</v>
      </c>
    </row>
    <row r="2935" spans="1:11">
      <c r="A2935" t="s">
        <v>2998</v>
      </c>
      <c r="B2935">
        <v>504594</v>
      </c>
      <c r="C2935" s="2" t="str">
        <f>"2050-00-50"</f>
        <v>2050-00-50</v>
      </c>
      <c r="D2935" t="s">
        <v>3031</v>
      </c>
      <c r="E2935" t="s">
        <v>4</v>
      </c>
      <c r="F2935">
        <v>6.4</v>
      </c>
      <c r="H2935" t="s">
        <v>5</v>
      </c>
      <c r="I2935" s="1">
        <v>29.76</v>
      </c>
      <c r="J2935" s="1">
        <v>29.61</v>
      </c>
      <c r="K2935" t="s">
        <v>6</v>
      </c>
    </row>
    <row r="2936" spans="1:11">
      <c r="A2936" t="s">
        <v>2998</v>
      </c>
      <c r="B2936">
        <v>476135</v>
      </c>
      <c r="C2936" s="2" t="str">
        <f>"2050-45-50"</f>
        <v>2050-45-50</v>
      </c>
      <c r="D2936" t="s">
        <v>3032</v>
      </c>
      <c r="E2936" t="s">
        <v>4</v>
      </c>
      <c r="F2936">
        <v>7.5</v>
      </c>
      <c r="H2936" t="s">
        <v>5</v>
      </c>
      <c r="I2936" s="1">
        <v>31.49</v>
      </c>
      <c r="J2936" s="1">
        <v>31.33</v>
      </c>
      <c r="K2936" t="s">
        <v>6</v>
      </c>
    </row>
    <row r="2937" spans="1:11">
      <c r="A2937" t="s">
        <v>2998</v>
      </c>
      <c r="B2937">
        <v>476113</v>
      </c>
      <c r="C2937" s="2" t="str">
        <f>"2058-30-500"</f>
        <v>2058-30-500</v>
      </c>
      <c r="D2937" t="s">
        <v>3033</v>
      </c>
      <c r="E2937" t="s">
        <v>4</v>
      </c>
      <c r="F2937">
        <v>15.3</v>
      </c>
      <c r="H2937" t="s">
        <v>5</v>
      </c>
      <c r="I2937" s="1">
        <v>75.239999999999995</v>
      </c>
      <c r="J2937" s="1">
        <v>74.87</v>
      </c>
      <c r="K2937" t="s">
        <v>6</v>
      </c>
    </row>
    <row r="2938" spans="1:11">
      <c r="A2938" t="s">
        <v>2998</v>
      </c>
      <c r="B2938">
        <v>476116</v>
      </c>
      <c r="C2938" s="2" t="str">
        <f>"2058DL-500"</f>
        <v>2058DL-500</v>
      </c>
      <c r="D2938" t="s">
        <v>3034</v>
      </c>
      <c r="E2938" t="s">
        <v>4</v>
      </c>
      <c r="F2938">
        <v>10</v>
      </c>
      <c r="H2938" t="s">
        <v>5</v>
      </c>
      <c r="I2938" s="1">
        <v>33.19</v>
      </c>
      <c r="J2938" s="1">
        <v>33.020000000000003</v>
      </c>
      <c r="K2938" t="s">
        <v>6</v>
      </c>
    </row>
    <row r="2939" spans="1:11">
      <c r="A2939" t="s">
        <v>2998</v>
      </c>
      <c r="B2939">
        <v>476098</v>
      </c>
      <c r="C2939" s="2" t="str">
        <f>"2059-30-1000"</f>
        <v>2059-30-1000</v>
      </c>
      <c r="D2939" t="s">
        <v>3035</v>
      </c>
      <c r="E2939" t="s">
        <v>4</v>
      </c>
      <c r="F2939">
        <v>19.399999999999999</v>
      </c>
      <c r="H2939" t="s">
        <v>5</v>
      </c>
      <c r="I2939" s="1">
        <v>101.17</v>
      </c>
      <c r="J2939" s="1">
        <v>100.67</v>
      </c>
      <c r="K2939" t="s">
        <v>6</v>
      </c>
    </row>
    <row r="2940" spans="1:11">
      <c r="A2940" t="s">
        <v>2998</v>
      </c>
      <c r="B2940">
        <v>476103</v>
      </c>
      <c r="C2940" s="2" t="str">
        <f>"2059DL-1000"</f>
        <v>2059DL-1000</v>
      </c>
      <c r="D2940" t="s">
        <v>3036</v>
      </c>
      <c r="E2940" t="s">
        <v>4</v>
      </c>
      <c r="F2940">
        <v>7.62</v>
      </c>
      <c r="H2940" t="s">
        <v>5</v>
      </c>
      <c r="I2940" s="1">
        <v>29.63</v>
      </c>
      <c r="J2940" s="1">
        <v>29.47</v>
      </c>
      <c r="K2940" t="s">
        <v>6</v>
      </c>
    </row>
    <row r="2941" spans="1:11">
      <c r="A2941" t="s">
        <v>2998</v>
      </c>
      <c r="B2941">
        <v>476100</v>
      </c>
      <c r="C2941" s="2" t="str">
        <f>"2060-30-500"</f>
        <v>2060-30-500</v>
      </c>
      <c r="D2941" t="s">
        <v>3037</v>
      </c>
      <c r="E2941" t="s">
        <v>4</v>
      </c>
      <c r="F2941">
        <v>13.1</v>
      </c>
      <c r="H2941" t="s">
        <v>5</v>
      </c>
      <c r="I2941" s="1">
        <v>75.180000000000007</v>
      </c>
      <c r="J2941" s="1">
        <v>74.8</v>
      </c>
      <c r="K2941" t="s">
        <v>6</v>
      </c>
    </row>
    <row r="2942" spans="1:11">
      <c r="A2942" t="s">
        <v>2998</v>
      </c>
      <c r="B2942">
        <v>476147</v>
      </c>
      <c r="C2942" s="2" t="str">
        <f>"2060L-500"</f>
        <v>2060L-500</v>
      </c>
      <c r="D2942" t="s">
        <v>3038</v>
      </c>
      <c r="E2942" t="s">
        <v>4</v>
      </c>
      <c r="F2942">
        <v>8.65</v>
      </c>
      <c r="H2942" t="s">
        <v>5</v>
      </c>
      <c r="I2942" s="1">
        <v>25.16</v>
      </c>
      <c r="J2942" s="1">
        <v>25.04</v>
      </c>
      <c r="K2942" t="s">
        <v>6</v>
      </c>
    </row>
    <row r="2943" spans="1:11">
      <c r="A2943" t="s">
        <v>2998</v>
      </c>
      <c r="B2943">
        <v>476101</v>
      </c>
      <c r="C2943" s="2" t="str">
        <f>"2061-30-500"</f>
        <v>2061-30-500</v>
      </c>
      <c r="D2943" t="s">
        <v>3039</v>
      </c>
      <c r="E2943" t="s">
        <v>4</v>
      </c>
      <c r="F2943">
        <v>13.95</v>
      </c>
      <c r="H2943" t="s">
        <v>5</v>
      </c>
      <c r="I2943" s="1">
        <v>78.099999999999994</v>
      </c>
      <c r="J2943" s="1">
        <v>77.709999999999994</v>
      </c>
      <c r="K2943" t="s">
        <v>6</v>
      </c>
    </row>
    <row r="2944" spans="1:11">
      <c r="A2944" t="s">
        <v>2998</v>
      </c>
      <c r="B2944">
        <v>476108</v>
      </c>
      <c r="C2944" s="2" t="str">
        <f>"2062-30-250W"</f>
        <v>2062-30-250W</v>
      </c>
      <c r="D2944" t="s">
        <v>3040</v>
      </c>
      <c r="E2944" t="s">
        <v>4</v>
      </c>
      <c r="F2944">
        <v>15.5</v>
      </c>
      <c r="H2944" t="s">
        <v>5</v>
      </c>
      <c r="I2944" s="1">
        <v>72.89</v>
      </c>
      <c r="J2944" s="1">
        <v>72.53</v>
      </c>
      <c r="K2944" t="s">
        <v>6</v>
      </c>
    </row>
    <row r="2945" spans="1:11">
      <c r="A2945" t="s">
        <v>2998</v>
      </c>
      <c r="B2945">
        <v>476102</v>
      </c>
      <c r="C2945" s="2" t="str">
        <f>"2062-30-500"</f>
        <v>2062-30-500</v>
      </c>
      <c r="D2945" t="s">
        <v>3041</v>
      </c>
      <c r="E2945" t="s">
        <v>4</v>
      </c>
      <c r="F2945">
        <v>16.45</v>
      </c>
      <c r="H2945" t="s">
        <v>5</v>
      </c>
      <c r="I2945" s="1">
        <v>75.75</v>
      </c>
      <c r="J2945" s="1">
        <v>75.37</v>
      </c>
      <c r="K2945" t="s">
        <v>6</v>
      </c>
    </row>
    <row r="2946" spans="1:11">
      <c r="A2946" t="s">
        <v>2998</v>
      </c>
      <c r="B2946">
        <v>476104</v>
      </c>
      <c r="C2946" s="2" t="str">
        <f>"2062DL-500"</f>
        <v>2062DL-500</v>
      </c>
      <c r="D2946" t="s">
        <v>3042</v>
      </c>
      <c r="E2946" t="s">
        <v>4</v>
      </c>
      <c r="F2946">
        <v>9.5</v>
      </c>
      <c r="H2946" t="s">
        <v>5</v>
      </c>
      <c r="I2946" s="1">
        <v>28.81</v>
      </c>
      <c r="J2946" s="1">
        <v>28.67</v>
      </c>
      <c r="K2946" t="s">
        <v>6</v>
      </c>
    </row>
    <row r="2947" spans="1:11">
      <c r="A2947" t="s">
        <v>2998</v>
      </c>
      <c r="B2947">
        <v>476106</v>
      </c>
      <c r="C2947" s="2" t="str">
        <f>"2062L-500"</f>
        <v>2062L-500</v>
      </c>
      <c r="D2947" t="s">
        <v>3043</v>
      </c>
      <c r="E2947" t="s">
        <v>4</v>
      </c>
      <c r="F2947">
        <v>10.45</v>
      </c>
      <c r="H2947" t="s">
        <v>5</v>
      </c>
      <c r="I2947" s="1">
        <v>34.86</v>
      </c>
      <c r="J2947" s="1">
        <v>34.68</v>
      </c>
      <c r="K2947" t="s">
        <v>6</v>
      </c>
    </row>
    <row r="2948" spans="1:11">
      <c r="A2948" t="s">
        <v>2998</v>
      </c>
      <c r="B2948">
        <v>491992</v>
      </c>
      <c r="C2948" s="2" t="str">
        <f>"21205"</f>
        <v>21205</v>
      </c>
      <c r="D2948" t="s">
        <v>3044</v>
      </c>
      <c r="E2948" t="s">
        <v>4</v>
      </c>
      <c r="F2948">
        <v>5.8</v>
      </c>
      <c r="H2948" t="s">
        <v>5</v>
      </c>
      <c r="I2948" s="1">
        <v>12.94</v>
      </c>
      <c r="J2948" s="1">
        <v>12.87</v>
      </c>
      <c r="K2948" t="s">
        <v>6</v>
      </c>
    </row>
    <row r="2949" spans="1:11">
      <c r="A2949" t="s">
        <v>2998</v>
      </c>
      <c r="B2949">
        <v>491993</v>
      </c>
      <c r="C2949" s="2" t="str">
        <f>"21205-S"</f>
        <v>21205-S</v>
      </c>
      <c r="D2949" t="s">
        <v>3045</v>
      </c>
      <c r="E2949" t="s">
        <v>4</v>
      </c>
      <c r="F2949">
        <v>5.8</v>
      </c>
      <c r="H2949" t="s">
        <v>5</v>
      </c>
      <c r="I2949" s="1">
        <v>14.08</v>
      </c>
      <c r="J2949" s="1">
        <v>14</v>
      </c>
      <c r="K2949" t="s">
        <v>6</v>
      </c>
    </row>
    <row r="2950" spans="1:11">
      <c r="A2950" t="s">
        <v>2998</v>
      </c>
      <c r="B2950">
        <v>476093</v>
      </c>
      <c r="C2950" s="2" t="str">
        <f>"21210"</f>
        <v>21210</v>
      </c>
      <c r="D2950" t="s">
        <v>3046</v>
      </c>
      <c r="E2950" t="s">
        <v>4</v>
      </c>
      <c r="F2950">
        <v>21.3</v>
      </c>
      <c r="H2950" t="s">
        <v>5</v>
      </c>
      <c r="I2950" s="1">
        <v>87.44</v>
      </c>
      <c r="J2950" s="1">
        <v>87</v>
      </c>
      <c r="K2950" t="s">
        <v>6</v>
      </c>
    </row>
    <row r="2951" spans="1:11">
      <c r="A2951" t="s">
        <v>2998</v>
      </c>
      <c r="B2951">
        <v>476145</v>
      </c>
      <c r="C2951" s="2" t="str">
        <f>"21215"</f>
        <v>21215</v>
      </c>
      <c r="D2951" t="s">
        <v>3047</v>
      </c>
      <c r="E2951" t="s">
        <v>4</v>
      </c>
      <c r="F2951">
        <v>18.100000000000001</v>
      </c>
      <c r="H2951" t="s">
        <v>5</v>
      </c>
      <c r="I2951" s="1">
        <v>76.08</v>
      </c>
      <c r="J2951" s="1">
        <v>75.7</v>
      </c>
      <c r="K2951" t="s">
        <v>6</v>
      </c>
    </row>
    <row r="2952" spans="1:11">
      <c r="A2952" t="s">
        <v>2998</v>
      </c>
      <c r="B2952">
        <v>491994</v>
      </c>
      <c r="C2952" s="2" t="str">
        <f>"21805"</f>
        <v>21805</v>
      </c>
      <c r="D2952" t="s">
        <v>3048</v>
      </c>
      <c r="E2952" t="s">
        <v>4</v>
      </c>
      <c r="F2952">
        <v>8.5</v>
      </c>
      <c r="H2952" t="s">
        <v>5</v>
      </c>
      <c r="I2952" s="1">
        <v>19.25</v>
      </c>
      <c r="J2952" s="1">
        <v>19.16</v>
      </c>
      <c r="K2952" t="s">
        <v>6</v>
      </c>
    </row>
    <row r="2953" spans="1:11">
      <c r="A2953" t="s">
        <v>2998</v>
      </c>
      <c r="B2953">
        <v>491995</v>
      </c>
      <c r="C2953" s="2" t="str">
        <f>"21805-S"</f>
        <v>21805-S</v>
      </c>
      <c r="D2953" t="s">
        <v>3049</v>
      </c>
      <c r="E2953" t="s">
        <v>4</v>
      </c>
      <c r="F2953">
        <v>8.5</v>
      </c>
      <c r="H2953" t="s">
        <v>5</v>
      </c>
      <c r="I2953" s="1">
        <v>20.38</v>
      </c>
      <c r="J2953" s="1">
        <v>20.29</v>
      </c>
      <c r="K2953" t="s">
        <v>6</v>
      </c>
    </row>
    <row r="2954" spans="1:11">
      <c r="A2954" t="s">
        <v>2998</v>
      </c>
      <c r="B2954">
        <v>491996</v>
      </c>
      <c r="C2954" s="2" t="str">
        <f>"22405"</f>
        <v>22405</v>
      </c>
      <c r="D2954" t="s">
        <v>3050</v>
      </c>
      <c r="E2954" t="s">
        <v>4</v>
      </c>
      <c r="F2954">
        <v>11.1</v>
      </c>
      <c r="H2954" t="s">
        <v>5</v>
      </c>
      <c r="I2954" s="1">
        <v>26.68</v>
      </c>
      <c r="J2954" s="1">
        <v>26.55</v>
      </c>
      <c r="K2954" t="s">
        <v>6</v>
      </c>
    </row>
    <row r="2955" spans="1:11">
      <c r="A2955" t="s">
        <v>2998</v>
      </c>
      <c r="B2955">
        <v>476091</v>
      </c>
      <c r="C2955" s="2" t="str">
        <f>"29100"</f>
        <v>29100</v>
      </c>
      <c r="D2955" t="s">
        <v>3051</v>
      </c>
      <c r="E2955" t="s">
        <v>4</v>
      </c>
      <c r="F2955">
        <v>13.15</v>
      </c>
      <c r="H2955" t="s">
        <v>5</v>
      </c>
      <c r="I2955" s="1">
        <v>73.42</v>
      </c>
      <c r="J2955" s="1">
        <v>73.06</v>
      </c>
      <c r="K2955" t="s">
        <v>6</v>
      </c>
    </row>
    <row r="2956" spans="1:11">
      <c r="A2956" t="s">
        <v>2998</v>
      </c>
      <c r="B2956">
        <v>476869</v>
      </c>
      <c r="C2956" s="2" t="str">
        <f>"305-35-200"</f>
        <v>305-35-200</v>
      </c>
      <c r="D2956" t="s">
        <v>3052</v>
      </c>
      <c r="E2956" t="s">
        <v>4</v>
      </c>
      <c r="F2956">
        <v>8</v>
      </c>
      <c r="H2956" t="s">
        <v>5</v>
      </c>
      <c r="I2956" s="1">
        <v>61.11</v>
      </c>
      <c r="J2956" s="1">
        <v>60.8</v>
      </c>
      <c r="K2956" t="s">
        <v>6</v>
      </c>
    </row>
    <row r="2957" spans="1:11">
      <c r="A2957" t="s">
        <v>2998</v>
      </c>
      <c r="B2957">
        <v>476097</v>
      </c>
      <c r="C2957" s="2" t="str">
        <f>"317-30-200"</f>
        <v>317-30-200</v>
      </c>
      <c r="D2957" t="s">
        <v>3053</v>
      </c>
      <c r="E2957" t="s">
        <v>4</v>
      </c>
      <c r="F2957">
        <v>4</v>
      </c>
      <c r="H2957" t="s">
        <v>5</v>
      </c>
      <c r="I2957" s="1">
        <v>35.799999999999997</v>
      </c>
      <c r="J2957" s="1">
        <v>35.619999999999997</v>
      </c>
      <c r="K2957" t="s">
        <v>6</v>
      </c>
    </row>
    <row r="2958" spans="1:11">
      <c r="A2958" t="s">
        <v>2998</v>
      </c>
      <c r="B2958">
        <v>476123</v>
      </c>
      <c r="C2958" s="2" t="str">
        <f>"318-40-200"</f>
        <v>318-40-200</v>
      </c>
      <c r="D2958" t="s">
        <v>3054</v>
      </c>
      <c r="E2958" t="s">
        <v>4</v>
      </c>
      <c r="F2958">
        <v>16.45</v>
      </c>
      <c r="H2958" t="s">
        <v>5</v>
      </c>
      <c r="I2958" s="1">
        <v>100.61</v>
      </c>
      <c r="J2958" s="1">
        <v>100.11</v>
      </c>
      <c r="K2958" t="s">
        <v>6</v>
      </c>
    </row>
    <row r="2959" spans="1:11">
      <c r="A2959" t="s">
        <v>2998</v>
      </c>
      <c r="B2959">
        <v>476125</v>
      </c>
      <c r="C2959" s="2" t="str">
        <f>"320-35-100"</f>
        <v>320-35-100</v>
      </c>
      <c r="D2959" t="s">
        <v>3055</v>
      </c>
      <c r="E2959" t="s">
        <v>4</v>
      </c>
      <c r="F2959">
        <v>8.25</v>
      </c>
      <c r="H2959" t="s">
        <v>5</v>
      </c>
      <c r="I2959" s="1">
        <v>35.97</v>
      </c>
      <c r="J2959" s="1">
        <v>35.79</v>
      </c>
      <c r="K2959" t="s">
        <v>6</v>
      </c>
    </row>
    <row r="2960" spans="1:11">
      <c r="A2960" t="s">
        <v>2998</v>
      </c>
      <c r="B2960">
        <v>476976</v>
      </c>
      <c r="C2960" s="2" t="str">
        <f>"320-40-100"</f>
        <v>320-40-100</v>
      </c>
      <c r="D2960" t="s">
        <v>3056</v>
      </c>
      <c r="E2960" t="s">
        <v>4</v>
      </c>
      <c r="F2960">
        <v>9.5</v>
      </c>
      <c r="H2960" t="s">
        <v>5</v>
      </c>
      <c r="I2960" s="1">
        <v>41.39</v>
      </c>
      <c r="J2960" s="1">
        <v>41.18</v>
      </c>
      <c r="K2960" t="s">
        <v>6</v>
      </c>
    </row>
    <row r="2961" spans="1:11">
      <c r="A2961" t="s">
        <v>2998</v>
      </c>
      <c r="B2961">
        <v>476760</v>
      </c>
      <c r="C2961" s="2" t="str">
        <f>"321-35-100"</f>
        <v>321-35-100</v>
      </c>
      <c r="D2961" t="s">
        <v>3057</v>
      </c>
      <c r="E2961" t="s">
        <v>4</v>
      </c>
      <c r="F2961">
        <v>9</v>
      </c>
      <c r="H2961" t="s">
        <v>5</v>
      </c>
      <c r="I2961" s="1">
        <v>38.92</v>
      </c>
      <c r="J2961" s="1">
        <v>38.69</v>
      </c>
      <c r="K2961" t="s">
        <v>6</v>
      </c>
    </row>
    <row r="2962" spans="1:11">
      <c r="A2962" t="s">
        <v>2998</v>
      </c>
      <c r="B2962">
        <v>476762</v>
      </c>
      <c r="C2962" s="2" t="str">
        <f>"321-40-100"</f>
        <v>321-40-100</v>
      </c>
      <c r="D2962" t="s">
        <v>3057</v>
      </c>
      <c r="E2962" t="s">
        <v>4</v>
      </c>
      <c r="F2962">
        <v>10</v>
      </c>
      <c r="H2962" t="s">
        <v>5</v>
      </c>
      <c r="I2962" s="1">
        <v>42.22</v>
      </c>
      <c r="J2962" s="1">
        <v>42.02</v>
      </c>
      <c r="K2962" t="s">
        <v>6</v>
      </c>
    </row>
    <row r="2963" spans="1:11">
      <c r="A2963" t="s">
        <v>2998</v>
      </c>
      <c r="B2963">
        <v>476126</v>
      </c>
      <c r="C2963" s="2" t="str">
        <f>"321-45-100"</f>
        <v>321-45-100</v>
      </c>
      <c r="D2963" t="s">
        <v>3058</v>
      </c>
      <c r="E2963" t="s">
        <v>4</v>
      </c>
      <c r="F2963">
        <v>10.5</v>
      </c>
      <c r="H2963" t="s">
        <v>5</v>
      </c>
      <c r="I2963" s="1">
        <v>49.21</v>
      </c>
      <c r="J2963" s="1">
        <v>48.96</v>
      </c>
      <c r="K2963" t="s">
        <v>6</v>
      </c>
    </row>
    <row r="2964" spans="1:11">
      <c r="A2964" t="s">
        <v>2998</v>
      </c>
      <c r="B2964">
        <v>476109</v>
      </c>
      <c r="C2964" s="2" t="str">
        <f>"341-30-1000"</f>
        <v>341-30-1000</v>
      </c>
      <c r="D2964" t="s">
        <v>3059</v>
      </c>
      <c r="E2964" t="s">
        <v>4</v>
      </c>
      <c r="F2964">
        <v>8.8000000000000007</v>
      </c>
      <c r="H2964" t="s">
        <v>5</v>
      </c>
      <c r="I2964" s="1">
        <v>74.180000000000007</v>
      </c>
      <c r="J2964" s="1">
        <v>73.81</v>
      </c>
      <c r="K2964" t="s">
        <v>6</v>
      </c>
    </row>
    <row r="2965" spans="1:11">
      <c r="A2965" t="s">
        <v>2998</v>
      </c>
      <c r="B2965">
        <v>476751</v>
      </c>
      <c r="C2965" s="2" t="str">
        <f>"4004-40-500"</f>
        <v>4004-40-500</v>
      </c>
      <c r="D2965" t="s">
        <v>3060</v>
      </c>
      <c r="E2965" t="s">
        <v>4</v>
      </c>
      <c r="F2965">
        <v>21</v>
      </c>
      <c r="H2965" t="s">
        <v>5</v>
      </c>
      <c r="I2965" s="1">
        <v>112.19</v>
      </c>
      <c r="J2965" s="1">
        <v>111.62</v>
      </c>
      <c r="K2965" t="s">
        <v>6</v>
      </c>
    </row>
    <row r="2966" spans="1:11">
      <c r="A2966" t="s">
        <v>2998</v>
      </c>
      <c r="B2966">
        <v>476138</v>
      </c>
      <c r="C2966" s="2" t="str">
        <f>"4012-70-25"</f>
        <v>4012-70-25</v>
      </c>
      <c r="D2966" t="s">
        <v>3061</v>
      </c>
      <c r="E2966" t="s">
        <v>4</v>
      </c>
      <c r="F2966">
        <v>3</v>
      </c>
      <c r="H2966" t="s">
        <v>5</v>
      </c>
      <c r="I2966" s="1">
        <v>21.03</v>
      </c>
      <c r="J2966" s="1">
        <v>20.93</v>
      </c>
      <c r="K2966" t="s">
        <v>6</v>
      </c>
    </row>
    <row r="2967" spans="1:11">
      <c r="A2967" t="s">
        <v>2998</v>
      </c>
      <c r="B2967">
        <v>476143</v>
      </c>
      <c r="C2967" s="2" t="str">
        <f>"4012DL-25"</f>
        <v>4012DL-25</v>
      </c>
      <c r="D2967" t="s">
        <v>3062</v>
      </c>
      <c r="E2967" t="s">
        <v>4</v>
      </c>
      <c r="F2967">
        <v>2.96</v>
      </c>
      <c r="H2967" t="s">
        <v>5</v>
      </c>
      <c r="I2967" s="1">
        <v>17.73</v>
      </c>
      <c r="J2967" s="1">
        <v>17.64</v>
      </c>
      <c r="K2967" t="s">
        <v>6</v>
      </c>
    </row>
    <row r="2968" spans="1:11">
      <c r="A2968" t="s">
        <v>2998</v>
      </c>
      <c r="B2968">
        <v>476139</v>
      </c>
      <c r="C2968" s="2" t="str">
        <f>"4013-80-25"</f>
        <v>4013-80-25</v>
      </c>
      <c r="D2968" t="s">
        <v>3063</v>
      </c>
      <c r="E2968" t="s">
        <v>4</v>
      </c>
      <c r="F2968">
        <v>3.18</v>
      </c>
      <c r="H2968" t="s">
        <v>5</v>
      </c>
      <c r="I2968" s="1">
        <v>23.17</v>
      </c>
      <c r="J2968" s="1">
        <v>23.05</v>
      </c>
      <c r="K2968" t="s">
        <v>6</v>
      </c>
    </row>
    <row r="2969" spans="1:11">
      <c r="A2969" t="s">
        <v>2998</v>
      </c>
      <c r="B2969">
        <v>476144</v>
      </c>
      <c r="C2969" s="2" t="str">
        <f>"4018DL-25"</f>
        <v>4018DL-25</v>
      </c>
      <c r="D2969" t="s">
        <v>3064</v>
      </c>
      <c r="E2969" t="s">
        <v>4</v>
      </c>
      <c r="F2969">
        <v>7.24</v>
      </c>
      <c r="H2969" t="s">
        <v>5</v>
      </c>
      <c r="I2969" s="1">
        <v>32.07</v>
      </c>
      <c r="J2969" s="1">
        <v>31.9</v>
      </c>
      <c r="K2969" t="s">
        <v>6</v>
      </c>
    </row>
    <row r="2970" spans="1:11">
      <c r="A2970" t="s">
        <v>2998</v>
      </c>
      <c r="B2970">
        <v>476141</v>
      </c>
      <c r="C2970" s="2" t="str">
        <f>"4019-120-25"</f>
        <v>4019-120-25</v>
      </c>
      <c r="D2970" t="s">
        <v>3065</v>
      </c>
      <c r="E2970" t="s">
        <v>4</v>
      </c>
      <c r="F2970">
        <v>9.66</v>
      </c>
      <c r="H2970" t="s">
        <v>5</v>
      </c>
      <c r="I2970" s="1">
        <v>57.03</v>
      </c>
      <c r="J2970" s="1">
        <v>56.76</v>
      </c>
      <c r="K2970" t="s">
        <v>6</v>
      </c>
    </row>
    <row r="2971" spans="1:11">
      <c r="A2971" t="s">
        <v>2998</v>
      </c>
      <c r="B2971">
        <v>476129</v>
      </c>
      <c r="C2971" s="2" t="str">
        <f>"4020-70-50"</f>
        <v>4020-70-50</v>
      </c>
      <c r="D2971" t="s">
        <v>3066</v>
      </c>
      <c r="E2971" t="s">
        <v>4</v>
      </c>
      <c r="F2971">
        <v>13.75</v>
      </c>
      <c r="H2971" t="s">
        <v>5</v>
      </c>
      <c r="I2971" s="1">
        <v>63.17</v>
      </c>
      <c r="J2971" s="1">
        <v>62.84</v>
      </c>
      <c r="K2971" t="s">
        <v>6</v>
      </c>
    </row>
    <row r="2972" spans="1:11">
      <c r="A2972" t="s">
        <v>2998</v>
      </c>
      <c r="B2972">
        <v>476131</v>
      </c>
      <c r="C2972" s="2" t="str">
        <f>"4021-70-50"</f>
        <v>4021-70-50</v>
      </c>
      <c r="D2972" t="s">
        <v>3067</v>
      </c>
      <c r="E2972" t="s">
        <v>4</v>
      </c>
      <c r="F2972">
        <v>12</v>
      </c>
      <c r="H2972" t="s">
        <v>5</v>
      </c>
      <c r="I2972" s="1">
        <v>63.08</v>
      </c>
      <c r="J2972" s="1">
        <v>62.76</v>
      </c>
      <c r="K2972" t="s">
        <v>6</v>
      </c>
    </row>
    <row r="2973" spans="1:11">
      <c r="A2973" t="s">
        <v>2998</v>
      </c>
      <c r="B2973">
        <v>476133</v>
      </c>
      <c r="C2973" s="2" t="str">
        <f>"4025-40-100"</f>
        <v>4025-40-100</v>
      </c>
      <c r="D2973" t="s">
        <v>3068</v>
      </c>
      <c r="E2973" t="s">
        <v>4</v>
      </c>
      <c r="F2973">
        <v>10.050000000000001</v>
      </c>
      <c r="H2973" t="s">
        <v>5</v>
      </c>
      <c r="I2973" s="1">
        <v>43.06</v>
      </c>
      <c r="J2973" s="1">
        <v>42.84</v>
      </c>
      <c r="K2973" t="s">
        <v>6</v>
      </c>
    </row>
    <row r="2974" spans="1:11">
      <c r="A2974" t="s">
        <v>2998</v>
      </c>
      <c r="B2974">
        <v>476763</v>
      </c>
      <c r="C2974" s="2" t="str">
        <f>"4030-25-200"</f>
        <v>4030-25-200</v>
      </c>
      <c r="D2974" t="s">
        <v>3069</v>
      </c>
      <c r="E2974" t="s">
        <v>4</v>
      </c>
      <c r="F2974">
        <v>5.9</v>
      </c>
      <c r="H2974" t="s">
        <v>5</v>
      </c>
      <c r="I2974" s="1">
        <v>55.99</v>
      </c>
      <c r="J2974" s="1">
        <v>55.72</v>
      </c>
      <c r="K2974" t="s">
        <v>6</v>
      </c>
    </row>
    <row r="2975" spans="1:11">
      <c r="A2975" t="s">
        <v>2998</v>
      </c>
      <c r="B2975">
        <v>476754</v>
      </c>
      <c r="C2975" s="2" t="str">
        <f>"4040-45-250"</f>
        <v>4040-45-250</v>
      </c>
      <c r="D2975" t="s">
        <v>3070</v>
      </c>
      <c r="E2975" t="s">
        <v>4</v>
      </c>
      <c r="F2975">
        <v>20.2</v>
      </c>
      <c r="H2975" t="s">
        <v>5</v>
      </c>
      <c r="I2975" s="1">
        <v>126.89</v>
      </c>
      <c r="J2975" s="1">
        <v>126.27</v>
      </c>
      <c r="K2975" t="s">
        <v>6</v>
      </c>
    </row>
    <row r="2976" spans="1:11">
      <c r="A2976" t="s">
        <v>2998</v>
      </c>
      <c r="B2976">
        <v>476933</v>
      </c>
      <c r="C2976" s="2" t="str">
        <f>"4040L-250"</f>
        <v>4040L-250</v>
      </c>
      <c r="D2976" t="s">
        <v>3071</v>
      </c>
      <c r="E2976" t="s">
        <v>4</v>
      </c>
      <c r="F2976">
        <v>12.35</v>
      </c>
      <c r="H2976" t="s">
        <v>5</v>
      </c>
      <c r="I2976" s="1">
        <v>37.090000000000003</v>
      </c>
      <c r="J2976" s="1">
        <v>36.9</v>
      </c>
      <c r="K2976" t="s">
        <v>6</v>
      </c>
    </row>
    <row r="2977" spans="1:11">
      <c r="A2977" t="s">
        <v>2998</v>
      </c>
      <c r="B2977">
        <v>476845</v>
      </c>
      <c r="C2977" s="2" t="str">
        <f>"4044-35-500"</f>
        <v>4044-35-500</v>
      </c>
      <c r="D2977" t="s">
        <v>3072</v>
      </c>
      <c r="E2977" t="s">
        <v>4</v>
      </c>
      <c r="F2977">
        <v>17</v>
      </c>
      <c r="H2977" t="s">
        <v>5</v>
      </c>
      <c r="I2977" s="1">
        <v>136.31</v>
      </c>
      <c r="J2977" s="1">
        <v>135.63</v>
      </c>
      <c r="K2977" t="s">
        <v>6</v>
      </c>
    </row>
    <row r="2978" spans="1:11">
      <c r="A2978" t="s">
        <v>2998</v>
      </c>
      <c r="B2978">
        <v>476910</v>
      </c>
      <c r="C2978" s="2" t="str">
        <f>"4046-40-250"</f>
        <v>4046-40-250</v>
      </c>
      <c r="D2978" t="s">
        <v>3073</v>
      </c>
      <c r="E2978" t="s">
        <v>4</v>
      </c>
      <c r="F2978">
        <v>14.15</v>
      </c>
      <c r="H2978" t="s">
        <v>5</v>
      </c>
      <c r="I2978" s="1">
        <v>101.47</v>
      </c>
      <c r="J2978" s="1">
        <v>100.96</v>
      </c>
      <c r="K2978" t="s">
        <v>6</v>
      </c>
    </row>
    <row r="2979" spans="1:11">
      <c r="A2979" t="s">
        <v>2998</v>
      </c>
      <c r="B2979">
        <v>476938</v>
      </c>
      <c r="C2979" s="2" t="str">
        <f>"4046L-250"</f>
        <v>4046L-250</v>
      </c>
      <c r="D2979" t="s">
        <v>3074</v>
      </c>
      <c r="E2979" t="s">
        <v>4</v>
      </c>
      <c r="F2979">
        <v>10.199999999999999</v>
      </c>
      <c r="H2979" t="s">
        <v>5</v>
      </c>
      <c r="I2979" s="1">
        <v>34.51</v>
      </c>
      <c r="J2979" s="1">
        <v>34.340000000000003</v>
      </c>
      <c r="K2979" t="s">
        <v>6</v>
      </c>
    </row>
    <row r="2980" spans="1:11">
      <c r="A2980" t="s">
        <v>2998</v>
      </c>
      <c r="B2980">
        <v>476951</v>
      </c>
      <c r="C2980" s="2" t="str">
        <f>"4062-30-1000"</f>
        <v>4062-30-1000</v>
      </c>
      <c r="D2980" t="s">
        <v>3075</v>
      </c>
      <c r="E2980" t="s">
        <v>4</v>
      </c>
      <c r="F2980">
        <v>7.5</v>
      </c>
      <c r="H2980" t="s">
        <v>5</v>
      </c>
      <c r="I2980" s="1">
        <v>72.92</v>
      </c>
      <c r="J2980" s="1">
        <v>72.55</v>
      </c>
      <c r="K2980" t="s">
        <v>6</v>
      </c>
    </row>
    <row r="2981" spans="1:11">
      <c r="A2981" t="s">
        <v>2998</v>
      </c>
      <c r="B2981">
        <v>476957</v>
      </c>
      <c r="C2981" s="2" t="str">
        <f>"4062DL-1000"</f>
        <v>4062DL-1000</v>
      </c>
      <c r="D2981" t="s">
        <v>3076</v>
      </c>
      <c r="E2981" t="s">
        <v>4</v>
      </c>
      <c r="F2981">
        <v>4.5</v>
      </c>
      <c r="H2981" t="s">
        <v>5</v>
      </c>
      <c r="I2981" s="1">
        <v>51.45</v>
      </c>
      <c r="J2981" s="1">
        <v>51.21</v>
      </c>
      <c r="K2981" t="s">
        <v>6</v>
      </c>
    </row>
    <row r="2982" spans="1:11">
      <c r="A2982" t="s">
        <v>2998</v>
      </c>
      <c r="B2982">
        <v>506723</v>
      </c>
      <c r="C2982" s="2" t="str">
        <f>"4201-55-100CWDL"</f>
        <v>4201-55-100CWDL</v>
      </c>
      <c r="D2982" t="s">
        <v>3077</v>
      </c>
      <c r="E2982" t="s">
        <v>4</v>
      </c>
      <c r="F2982">
        <v>8.35</v>
      </c>
      <c r="H2982" t="s">
        <v>5</v>
      </c>
      <c r="I2982" s="1">
        <v>68.39</v>
      </c>
      <c r="J2982" s="1">
        <v>68.06</v>
      </c>
      <c r="K2982" t="s">
        <v>6</v>
      </c>
    </row>
    <row r="2983" spans="1:11">
      <c r="A2983" t="s">
        <v>2998</v>
      </c>
      <c r="B2983">
        <v>490630</v>
      </c>
      <c r="C2983" s="2" t="str">
        <f>"4201-55-100WDL"</f>
        <v>4201-55-100WDL</v>
      </c>
      <c r="D2983" t="s">
        <v>3078</v>
      </c>
      <c r="E2983" t="s">
        <v>4</v>
      </c>
      <c r="F2983">
        <v>8.9</v>
      </c>
      <c r="H2983" t="s">
        <v>5</v>
      </c>
      <c r="I2983" s="1">
        <v>103.38</v>
      </c>
      <c r="J2983" s="1">
        <v>102.86</v>
      </c>
      <c r="K2983" t="s">
        <v>6</v>
      </c>
    </row>
    <row r="2984" spans="1:11">
      <c r="A2984" t="s">
        <v>2998</v>
      </c>
      <c r="B2984">
        <v>506783</v>
      </c>
      <c r="C2984" s="2" t="str">
        <f>"4202-70-50CWDL"</f>
        <v>4202-70-50CWDL</v>
      </c>
      <c r="D2984" t="s">
        <v>3079</v>
      </c>
      <c r="E2984" t="s">
        <v>4</v>
      </c>
      <c r="F2984">
        <v>7.45</v>
      </c>
      <c r="H2984" t="s">
        <v>5</v>
      </c>
      <c r="I2984" s="1">
        <v>61.76</v>
      </c>
      <c r="J2984" s="1">
        <v>61.45</v>
      </c>
      <c r="K2984" t="s">
        <v>6</v>
      </c>
    </row>
    <row r="2985" spans="1:11">
      <c r="A2985" t="s">
        <v>2998</v>
      </c>
      <c r="B2985">
        <v>487493</v>
      </c>
      <c r="C2985" s="2" t="str">
        <f>"4203-70-50WDL"</f>
        <v>4203-70-50WDL</v>
      </c>
      <c r="D2985" t="s">
        <v>3080</v>
      </c>
      <c r="E2985" t="s">
        <v>4</v>
      </c>
      <c r="F2985">
        <v>9.76</v>
      </c>
      <c r="H2985" t="s">
        <v>5</v>
      </c>
      <c r="I2985" s="1">
        <v>88.44</v>
      </c>
      <c r="J2985" s="1">
        <v>88</v>
      </c>
      <c r="K2985" t="s">
        <v>6</v>
      </c>
    </row>
    <row r="2986" spans="1:11">
      <c r="A2986" t="s">
        <v>2998</v>
      </c>
      <c r="B2986">
        <v>551001</v>
      </c>
      <c r="C2986" s="2" t="str">
        <f>"4215-55-100CWDL"</f>
        <v>4215-55-100CWDL</v>
      </c>
      <c r="D2986" t="s">
        <v>3081</v>
      </c>
      <c r="E2986" t="s">
        <v>4</v>
      </c>
      <c r="F2986">
        <v>5.25</v>
      </c>
      <c r="H2986" t="s">
        <v>5</v>
      </c>
      <c r="I2986" s="1">
        <v>41.96</v>
      </c>
      <c r="J2986" s="1">
        <v>41.76</v>
      </c>
      <c r="K2986" t="s">
        <v>6</v>
      </c>
    </row>
    <row r="2987" spans="1:11">
      <c r="A2987" t="s">
        <v>2998</v>
      </c>
      <c r="B2987">
        <v>476076</v>
      </c>
      <c r="C2987" s="2" t="str">
        <f>"51208"</f>
        <v>51208</v>
      </c>
      <c r="D2987" t="s">
        <v>3082</v>
      </c>
      <c r="E2987" t="s">
        <v>4</v>
      </c>
      <c r="F2987">
        <v>6.8</v>
      </c>
      <c r="H2987" t="s">
        <v>5</v>
      </c>
      <c r="I2987" s="1">
        <v>38.18</v>
      </c>
      <c r="J2987" s="1">
        <v>37.99</v>
      </c>
      <c r="K2987" t="s">
        <v>6</v>
      </c>
    </row>
    <row r="2988" spans="1:11">
      <c r="A2988" t="s">
        <v>2998</v>
      </c>
      <c r="B2988">
        <v>476094</v>
      </c>
      <c r="C2988" s="2" t="str">
        <f>"51210"</f>
        <v>51210</v>
      </c>
      <c r="D2988" t="s">
        <v>3083</v>
      </c>
      <c r="E2988" t="s">
        <v>4</v>
      </c>
      <c r="F2988">
        <v>25.15</v>
      </c>
      <c r="H2988" t="s">
        <v>5</v>
      </c>
      <c r="I2988" s="1">
        <v>103.9</v>
      </c>
      <c r="J2988" s="1">
        <v>103.38</v>
      </c>
      <c r="K2988" t="s">
        <v>6</v>
      </c>
    </row>
    <row r="2989" spans="1:11">
      <c r="A2989" t="s">
        <v>2998</v>
      </c>
      <c r="B2989">
        <v>476096</v>
      </c>
      <c r="C2989" s="2" t="str">
        <f>"51215"</f>
        <v>51215</v>
      </c>
      <c r="D2989" t="s">
        <v>3084</v>
      </c>
      <c r="E2989" t="s">
        <v>4</v>
      </c>
      <c r="F2989">
        <v>21.75</v>
      </c>
      <c r="H2989" t="s">
        <v>5</v>
      </c>
      <c r="I2989" s="1">
        <v>97.84</v>
      </c>
      <c r="J2989" s="1">
        <v>97.34</v>
      </c>
      <c r="K2989" t="s">
        <v>6</v>
      </c>
    </row>
    <row r="2990" spans="1:11">
      <c r="A2990" t="s">
        <v>2998</v>
      </c>
      <c r="B2990">
        <v>476087</v>
      </c>
      <c r="C2990" s="2" t="str">
        <f>"51803"</f>
        <v>51803</v>
      </c>
      <c r="D2990" t="s">
        <v>3085</v>
      </c>
      <c r="E2990" t="s">
        <v>4</v>
      </c>
      <c r="F2990">
        <v>5.78</v>
      </c>
      <c r="H2990" t="s">
        <v>5</v>
      </c>
      <c r="I2990" s="1">
        <v>26.75</v>
      </c>
      <c r="J2990" s="1">
        <v>26.62</v>
      </c>
      <c r="K2990" t="s">
        <v>6</v>
      </c>
    </row>
    <row r="2991" spans="1:11">
      <c r="A2991" t="s">
        <v>2998</v>
      </c>
      <c r="B2991">
        <v>476079</v>
      </c>
      <c r="C2991" s="2" t="str">
        <f>"51805"</f>
        <v>51805</v>
      </c>
      <c r="D2991" t="s">
        <v>3086</v>
      </c>
      <c r="E2991" t="s">
        <v>4</v>
      </c>
      <c r="F2991">
        <v>6.99</v>
      </c>
      <c r="H2991" t="s">
        <v>5</v>
      </c>
      <c r="I2991" s="1">
        <v>30.03</v>
      </c>
      <c r="J2991" s="1">
        <v>29.87</v>
      </c>
      <c r="K2991" t="s">
        <v>6</v>
      </c>
    </row>
    <row r="2992" spans="1:11">
      <c r="A2992" t="s">
        <v>2998</v>
      </c>
      <c r="B2992">
        <v>476088</v>
      </c>
      <c r="C2992" s="2" t="str">
        <f>"51807"</f>
        <v>51807</v>
      </c>
      <c r="D2992" t="s">
        <v>3087</v>
      </c>
      <c r="E2992" t="s">
        <v>4</v>
      </c>
      <c r="F2992">
        <v>8.4</v>
      </c>
      <c r="H2992" t="s">
        <v>5</v>
      </c>
      <c r="I2992" s="1">
        <v>37.79</v>
      </c>
      <c r="J2992" s="1">
        <v>37.61</v>
      </c>
      <c r="K2992" t="s">
        <v>6</v>
      </c>
    </row>
    <row r="2993" spans="1:11">
      <c r="A2993" t="s">
        <v>2998</v>
      </c>
      <c r="B2993">
        <v>476080</v>
      </c>
      <c r="C2993" s="2" t="str">
        <f>"51808"</f>
        <v>51808</v>
      </c>
      <c r="D2993" t="s">
        <v>3088</v>
      </c>
      <c r="E2993" t="s">
        <v>4</v>
      </c>
      <c r="F2993">
        <v>9.56</v>
      </c>
      <c r="H2993" t="s">
        <v>5</v>
      </c>
      <c r="I2993" s="1">
        <v>40.33</v>
      </c>
      <c r="J2993" s="1">
        <v>40.119999999999997</v>
      </c>
      <c r="K2993" t="s">
        <v>6</v>
      </c>
    </row>
    <row r="2994" spans="1:11">
      <c r="A2994" t="s">
        <v>2998</v>
      </c>
      <c r="B2994">
        <v>476084</v>
      </c>
      <c r="C2994" s="2" t="str">
        <f>"52408"</f>
        <v>52408</v>
      </c>
      <c r="D2994" t="s">
        <v>3089</v>
      </c>
      <c r="E2994" t="s">
        <v>4</v>
      </c>
      <c r="F2994">
        <v>13.1</v>
      </c>
      <c r="H2994" t="s">
        <v>5</v>
      </c>
      <c r="I2994" s="1">
        <v>74.239999999999995</v>
      </c>
      <c r="J2994" s="1">
        <v>73.87</v>
      </c>
      <c r="K2994" t="s">
        <v>6</v>
      </c>
    </row>
    <row r="2995" spans="1:11">
      <c r="A2995" t="s">
        <v>2998</v>
      </c>
      <c r="B2995">
        <v>476744</v>
      </c>
      <c r="C2995" s="2" t="str">
        <f>"58100"</f>
        <v>58100</v>
      </c>
      <c r="D2995" t="s">
        <v>3090</v>
      </c>
      <c r="E2995" t="s">
        <v>4</v>
      </c>
      <c r="F2995">
        <v>13.85</v>
      </c>
      <c r="H2995" t="s">
        <v>5</v>
      </c>
      <c r="I2995" s="1">
        <v>81.11</v>
      </c>
      <c r="J2995" s="1">
        <v>80.7</v>
      </c>
      <c r="K2995" t="s">
        <v>6</v>
      </c>
    </row>
    <row r="2996" spans="1:11">
      <c r="A2996" t="s">
        <v>2998</v>
      </c>
      <c r="B2996">
        <v>476092</v>
      </c>
      <c r="C2996" s="2" t="str">
        <f>"59100"</f>
        <v>59100</v>
      </c>
      <c r="D2996" t="s">
        <v>3091</v>
      </c>
      <c r="E2996" t="s">
        <v>4</v>
      </c>
      <c r="F2996">
        <v>16.54</v>
      </c>
      <c r="H2996" t="s">
        <v>5</v>
      </c>
      <c r="I2996" s="1">
        <v>68.12</v>
      </c>
      <c r="J2996" s="1">
        <v>67.78</v>
      </c>
      <c r="K2996" t="s">
        <v>6</v>
      </c>
    </row>
    <row r="2997" spans="1:11">
      <c r="A2997" t="s">
        <v>3111</v>
      </c>
      <c r="B2997">
        <v>449664</v>
      </c>
      <c r="C2997" s="2" t="str">
        <f>"BU181"</f>
        <v>BU181</v>
      </c>
      <c r="D2997" t="s">
        <v>3112</v>
      </c>
      <c r="E2997" t="s">
        <v>4</v>
      </c>
      <c r="F2997">
        <v>21.29</v>
      </c>
      <c r="H2997" t="s">
        <v>5</v>
      </c>
      <c r="I2997" s="1">
        <v>25.16</v>
      </c>
      <c r="J2997" s="1">
        <v>24.91</v>
      </c>
      <c r="K2997" t="s">
        <v>6</v>
      </c>
    </row>
    <row r="2998" spans="1:11">
      <c r="A2998" t="s">
        <v>3111</v>
      </c>
      <c r="B2998">
        <v>389650</v>
      </c>
      <c r="C2998" s="2" t="str">
        <f>"D-12"</f>
        <v>D-12</v>
      </c>
      <c r="D2998" t="s">
        <v>3113</v>
      </c>
      <c r="E2998" t="s">
        <v>4</v>
      </c>
      <c r="F2998">
        <v>40.700000000000003</v>
      </c>
      <c r="H2998" t="s">
        <v>5</v>
      </c>
      <c r="I2998" s="1">
        <v>82.72</v>
      </c>
      <c r="J2998" s="1">
        <v>81.900000000000006</v>
      </c>
      <c r="K2998" t="s">
        <v>6</v>
      </c>
    </row>
    <row r="2999" spans="1:11">
      <c r="A2999" t="s">
        <v>3111</v>
      </c>
      <c r="B2999">
        <v>389731</v>
      </c>
      <c r="C2999" s="2" t="str">
        <f>"D-15"</f>
        <v>D-15</v>
      </c>
      <c r="D2999" t="s">
        <v>3114</v>
      </c>
      <c r="E2999" t="s">
        <v>4</v>
      </c>
      <c r="F2999">
        <v>48.68</v>
      </c>
      <c r="H2999" t="s">
        <v>5</v>
      </c>
      <c r="I2999" s="1">
        <v>96.82</v>
      </c>
      <c r="J2999" s="1">
        <v>95.86</v>
      </c>
      <c r="K2999" t="s">
        <v>6</v>
      </c>
    </row>
    <row r="3000" spans="1:11">
      <c r="A3000" t="s">
        <v>3111</v>
      </c>
      <c r="B3000">
        <v>388929</v>
      </c>
      <c r="C3000" s="2" t="str">
        <f>"EZ-10N"</f>
        <v>EZ-10N</v>
      </c>
      <c r="D3000" t="s">
        <v>3115</v>
      </c>
      <c r="E3000" t="s">
        <v>4</v>
      </c>
      <c r="F3000">
        <v>28</v>
      </c>
      <c r="H3000" t="s">
        <v>5</v>
      </c>
      <c r="I3000" s="1">
        <v>62.57</v>
      </c>
      <c r="J3000" s="1">
        <v>61.95</v>
      </c>
      <c r="K3000" t="s">
        <v>6</v>
      </c>
    </row>
    <row r="3001" spans="1:11">
      <c r="A3001" t="s">
        <v>3111</v>
      </c>
      <c r="B3001">
        <v>388931</v>
      </c>
      <c r="C3001" s="2" t="str">
        <f>"EZ-12N"</f>
        <v>EZ-12N</v>
      </c>
      <c r="D3001" t="s">
        <v>3116</v>
      </c>
      <c r="E3001" t="s">
        <v>4</v>
      </c>
      <c r="F3001">
        <v>34.47</v>
      </c>
      <c r="H3001" t="s">
        <v>5</v>
      </c>
      <c r="I3001" s="1">
        <v>71.819999999999993</v>
      </c>
      <c r="J3001" s="1">
        <v>71.099999999999994</v>
      </c>
      <c r="K3001" t="s">
        <v>6</v>
      </c>
    </row>
    <row r="3002" spans="1:11">
      <c r="A3002" t="s">
        <v>3111</v>
      </c>
      <c r="B3002">
        <v>388932</v>
      </c>
      <c r="C3002" s="2" t="str">
        <f>"EZ-15N"</f>
        <v>EZ-15N</v>
      </c>
      <c r="D3002" t="s">
        <v>3117</v>
      </c>
      <c r="E3002" t="s">
        <v>4</v>
      </c>
      <c r="F3002">
        <v>44</v>
      </c>
      <c r="H3002" t="s">
        <v>5</v>
      </c>
      <c r="I3002" s="1">
        <v>85.07</v>
      </c>
      <c r="J3002" s="1">
        <v>84.22</v>
      </c>
      <c r="K3002" t="s">
        <v>6</v>
      </c>
    </row>
    <row r="3003" spans="1:11">
      <c r="A3003" t="s">
        <v>3111</v>
      </c>
      <c r="B3003">
        <v>388933</v>
      </c>
      <c r="C3003" s="2" t="str">
        <f>"EZ-8N"</f>
        <v>EZ-8N</v>
      </c>
      <c r="D3003" t="s">
        <v>3118</v>
      </c>
      <c r="E3003" t="s">
        <v>4</v>
      </c>
      <c r="F3003">
        <v>23.53</v>
      </c>
      <c r="H3003" t="s">
        <v>5</v>
      </c>
      <c r="I3003" s="1">
        <v>47.98</v>
      </c>
      <c r="J3003" s="1">
        <v>47.5</v>
      </c>
      <c r="K3003" t="s">
        <v>6</v>
      </c>
    </row>
    <row r="3004" spans="1:11">
      <c r="A3004" t="s">
        <v>3111</v>
      </c>
      <c r="B3004">
        <v>388934</v>
      </c>
      <c r="C3004" s="2" t="str">
        <f>"F-12"</f>
        <v>F-12</v>
      </c>
      <c r="D3004" t="s">
        <v>3119</v>
      </c>
      <c r="E3004" t="s">
        <v>4</v>
      </c>
      <c r="F3004">
        <v>43.68</v>
      </c>
      <c r="H3004" t="s">
        <v>5</v>
      </c>
      <c r="I3004" s="1">
        <v>100.46</v>
      </c>
      <c r="J3004" s="1">
        <v>99.47</v>
      </c>
      <c r="K3004" t="s">
        <v>6</v>
      </c>
    </row>
    <row r="3005" spans="1:11">
      <c r="A3005" t="s">
        <v>3111</v>
      </c>
      <c r="B3005">
        <v>396333</v>
      </c>
      <c r="C3005" s="2" t="str">
        <f>"F-15-15"</f>
        <v>F-15-15</v>
      </c>
      <c r="D3005" t="s">
        <v>3120</v>
      </c>
      <c r="E3005" t="s">
        <v>4</v>
      </c>
      <c r="F3005">
        <v>34.54</v>
      </c>
      <c r="H3005" t="s">
        <v>5</v>
      </c>
      <c r="I3005" s="1">
        <v>86.77</v>
      </c>
      <c r="J3005" s="1">
        <v>85.91</v>
      </c>
      <c r="K3005" t="s">
        <v>6</v>
      </c>
    </row>
    <row r="3006" spans="1:11">
      <c r="A3006" t="s">
        <v>3111</v>
      </c>
      <c r="B3006">
        <v>409115</v>
      </c>
      <c r="C3006" s="2" t="str">
        <f>"F-16"</f>
        <v>F-16</v>
      </c>
      <c r="D3006" t="s">
        <v>3121</v>
      </c>
      <c r="E3006" t="s">
        <v>4</v>
      </c>
      <c r="F3006">
        <v>38.51</v>
      </c>
      <c r="H3006" t="s">
        <v>5</v>
      </c>
      <c r="I3006" s="1">
        <v>93.46</v>
      </c>
      <c r="J3006" s="1">
        <v>92.54</v>
      </c>
      <c r="K3006" t="s">
        <v>6</v>
      </c>
    </row>
    <row r="3007" spans="1:11">
      <c r="A3007" t="s">
        <v>3111</v>
      </c>
      <c r="B3007">
        <v>394652</v>
      </c>
      <c r="C3007" s="2" t="str">
        <f>"F-19"</f>
        <v>F-19</v>
      </c>
      <c r="D3007" t="s">
        <v>3122</v>
      </c>
      <c r="E3007" t="s">
        <v>4</v>
      </c>
      <c r="F3007">
        <v>33.24</v>
      </c>
      <c r="H3007" t="s">
        <v>5</v>
      </c>
      <c r="I3007" s="1">
        <v>86.3</v>
      </c>
      <c r="J3007" s="1">
        <v>85.44</v>
      </c>
      <c r="K3007" t="s">
        <v>6</v>
      </c>
    </row>
    <row r="3008" spans="1:11">
      <c r="A3008" t="s">
        <v>3111</v>
      </c>
      <c r="B3008">
        <v>557469</v>
      </c>
      <c r="C3008" s="2" t="str">
        <f>"FDP1010BK-N"</f>
        <v>FDP1010BK-N</v>
      </c>
      <c r="D3008" t="s">
        <v>3123</v>
      </c>
      <c r="E3008" t="s">
        <v>4</v>
      </c>
      <c r="F3008">
        <v>31</v>
      </c>
      <c r="H3008" t="s">
        <v>5</v>
      </c>
      <c r="I3008" s="1">
        <v>100.29</v>
      </c>
      <c r="J3008" s="1">
        <v>99.29</v>
      </c>
      <c r="K3008" t="s">
        <v>6</v>
      </c>
    </row>
    <row r="3009" spans="1:11">
      <c r="A3009" t="s">
        <v>3111</v>
      </c>
      <c r="B3009">
        <v>438372</v>
      </c>
      <c r="C3009" s="2" t="str">
        <f>"FDP12BC"</f>
        <v>FDP12BC</v>
      </c>
      <c r="D3009" t="s">
        <v>3124</v>
      </c>
      <c r="E3009" t="s">
        <v>4</v>
      </c>
      <c r="F3009">
        <v>45</v>
      </c>
      <c r="H3009" t="s">
        <v>5</v>
      </c>
      <c r="I3009" s="1">
        <v>135.03</v>
      </c>
      <c r="J3009" s="1">
        <v>133.69</v>
      </c>
      <c r="K3009" t="s">
        <v>6</v>
      </c>
    </row>
    <row r="3010" spans="1:11">
      <c r="A3010" t="s">
        <v>3111</v>
      </c>
      <c r="B3010">
        <v>390549</v>
      </c>
      <c r="C3010" s="2" t="str">
        <f>"FDP12BK"</f>
        <v>FDP12BK</v>
      </c>
      <c r="D3010" t="s">
        <v>3125</v>
      </c>
      <c r="E3010" t="s">
        <v>4</v>
      </c>
      <c r="F3010">
        <v>45</v>
      </c>
      <c r="H3010" t="s">
        <v>5</v>
      </c>
      <c r="I3010" s="1">
        <v>135.03</v>
      </c>
      <c r="J3010" s="1">
        <v>133.69</v>
      </c>
      <c r="K3010" t="s">
        <v>6</v>
      </c>
    </row>
    <row r="3011" spans="1:11">
      <c r="A3011" t="s">
        <v>3111</v>
      </c>
      <c r="B3011">
        <v>395288</v>
      </c>
      <c r="C3011" s="2" t="str">
        <f>"FDP12MP"</f>
        <v>FDP12MP</v>
      </c>
      <c r="D3011" t="s">
        <v>3126</v>
      </c>
      <c r="E3011" t="s">
        <v>4</v>
      </c>
      <c r="F3011">
        <v>45</v>
      </c>
      <c r="H3011" t="s">
        <v>5</v>
      </c>
      <c r="I3011" s="1">
        <v>138.02000000000001</v>
      </c>
      <c r="J3011" s="1">
        <v>136.66</v>
      </c>
      <c r="K3011" t="s">
        <v>6</v>
      </c>
    </row>
    <row r="3012" spans="1:11">
      <c r="A3012" t="s">
        <v>3111</v>
      </c>
      <c r="B3012">
        <v>391275</v>
      </c>
      <c r="C3012" s="2" t="str">
        <f>"FDP12RC"</f>
        <v>FDP12RC</v>
      </c>
      <c r="D3012" t="s">
        <v>3127</v>
      </c>
      <c r="E3012" t="s">
        <v>4</v>
      </c>
      <c r="F3012">
        <v>45</v>
      </c>
      <c r="H3012" t="s">
        <v>5</v>
      </c>
      <c r="I3012" s="1">
        <v>135.03</v>
      </c>
      <c r="J3012" s="1">
        <v>133.69</v>
      </c>
      <c r="K3012" t="s">
        <v>6</v>
      </c>
    </row>
    <row r="3013" spans="1:11">
      <c r="A3013" t="s">
        <v>3111</v>
      </c>
      <c r="B3013">
        <v>481796</v>
      </c>
      <c r="C3013" s="2" t="str">
        <f>"FSW65U"</f>
        <v>FSW65U</v>
      </c>
      <c r="D3013" t="s">
        <v>3128</v>
      </c>
      <c r="E3013" t="s">
        <v>4</v>
      </c>
      <c r="F3013">
        <v>15</v>
      </c>
      <c r="H3013" t="s">
        <v>5</v>
      </c>
      <c r="I3013" s="1">
        <v>58.06</v>
      </c>
      <c r="J3013" s="1">
        <v>57.49</v>
      </c>
      <c r="K3013" t="s">
        <v>6</v>
      </c>
    </row>
    <row r="3014" spans="1:11">
      <c r="A3014" t="s">
        <v>3111</v>
      </c>
      <c r="B3014">
        <v>390529</v>
      </c>
      <c r="C3014" s="2" t="str">
        <f>"FSW66U"</f>
        <v>FSW66U</v>
      </c>
      <c r="D3014" t="s">
        <v>3129</v>
      </c>
      <c r="E3014" t="s">
        <v>4</v>
      </c>
      <c r="F3014">
        <v>24</v>
      </c>
      <c r="H3014" t="s">
        <v>5</v>
      </c>
      <c r="I3014" s="1">
        <v>109.98</v>
      </c>
      <c r="J3014" s="1">
        <v>108.89</v>
      </c>
      <c r="K3014" t="s">
        <v>6</v>
      </c>
    </row>
    <row r="3015" spans="1:11">
      <c r="A3015" t="s">
        <v>3111</v>
      </c>
      <c r="B3015">
        <v>389651</v>
      </c>
      <c r="C3015" s="2" t="str">
        <f>"FT-12"</f>
        <v>FT-12</v>
      </c>
      <c r="D3015" t="s">
        <v>3130</v>
      </c>
      <c r="E3015" t="s">
        <v>4</v>
      </c>
      <c r="F3015">
        <v>38</v>
      </c>
      <c r="H3015" t="s">
        <v>5</v>
      </c>
      <c r="I3015" s="1">
        <v>96.92</v>
      </c>
      <c r="J3015" s="1">
        <v>95.96</v>
      </c>
      <c r="K3015" t="s">
        <v>6</v>
      </c>
    </row>
    <row r="3016" spans="1:11">
      <c r="A3016" t="s">
        <v>3111</v>
      </c>
      <c r="B3016">
        <v>388935</v>
      </c>
      <c r="C3016" s="2" t="str">
        <f>"FW-10"</f>
        <v>FW-10</v>
      </c>
      <c r="D3016" t="s">
        <v>3131</v>
      </c>
      <c r="E3016" t="s">
        <v>4</v>
      </c>
      <c r="F3016">
        <v>33.090000000000003</v>
      </c>
      <c r="H3016" t="s">
        <v>5</v>
      </c>
      <c r="I3016" s="1">
        <v>65.39</v>
      </c>
      <c r="J3016" s="1">
        <v>64.739999999999995</v>
      </c>
      <c r="K3016" t="s">
        <v>6</v>
      </c>
    </row>
    <row r="3017" spans="1:11">
      <c r="A3017" t="s">
        <v>3111</v>
      </c>
      <c r="B3017">
        <v>388936</v>
      </c>
      <c r="C3017" s="2" t="str">
        <f>"FW-12"</f>
        <v>FW-12</v>
      </c>
      <c r="D3017" t="s">
        <v>3132</v>
      </c>
      <c r="E3017" t="s">
        <v>4</v>
      </c>
      <c r="F3017">
        <v>39.33</v>
      </c>
      <c r="H3017" t="s">
        <v>5</v>
      </c>
      <c r="I3017" s="1">
        <v>76.64</v>
      </c>
      <c r="J3017" s="1">
        <v>75.88</v>
      </c>
      <c r="K3017" t="s">
        <v>6</v>
      </c>
    </row>
    <row r="3018" spans="1:11">
      <c r="A3018" t="s">
        <v>3111</v>
      </c>
      <c r="B3018">
        <v>388937</v>
      </c>
      <c r="C3018" s="2" t="str">
        <f>"FW-15"</f>
        <v>FW-15</v>
      </c>
      <c r="D3018" t="s">
        <v>3133</v>
      </c>
      <c r="E3018" t="s">
        <v>4</v>
      </c>
      <c r="F3018">
        <v>51.04</v>
      </c>
      <c r="H3018" t="s">
        <v>5</v>
      </c>
      <c r="I3018" s="1">
        <v>89.68</v>
      </c>
      <c r="J3018" s="1">
        <v>88.8</v>
      </c>
      <c r="K3018" t="s">
        <v>6</v>
      </c>
    </row>
    <row r="3019" spans="1:11">
      <c r="A3019" t="s">
        <v>3111</v>
      </c>
      <c r="B3019">
        <v>388938</v>
      </c>
      <c r="C3019" s="2" t="str">
        <f>"FW-8"</f>
        <v>FW-8</v>
      </c>
      <c r="D3019" t="s">
        <v>3134</v>
      </c>
      <c r="E3019" t="s">
        <v>4</v>
      </c>
      <c r="F3019">
        <v>26.86</v>
      </c>
      <c r="H3019" t="s">
        <v>5</v>
      </c>
      <c r="I3019" s="1">
        <v>50.7</v>
      </c>
      <c r="J3019" s="1">
        <v>50.2</v>
      </c>
      <c r="K3019" t="s">
        <v>6</v>
      </c>
    </row>
    <row r="3020" spans="1:11">
      <c r="A3020" t="s">
        <v>3111</v>
      </c>
      <c r="B3020">
        <v>397196</v>
      </c>
      <c r="C3020" s="2" t="str">
        <f>"HDT-8M"</f>
        <v>HDT-8M</v>
      </c>
      <c r="D3020" t="s">
        <v>3135</v>
      </c>
      <c r="E3020" t="s">
        <v>4</v>
      </c>
      <c r="F3020">
        <v>12.2</v>
      </c>
      <c r="H3020" t="s">
        <v>5</v>
      </c>
      <c r="I3020" s="1">
        <v>46.78</v>
      </c>
      <c r="J3020" s="1">
        <v>46.32</v>
      </c>
      <c r="K3020" t="s">
        <v>6</v>
      </c>
    </row>
    <row r="3021" spans="1:11">
      <c r="A3021" t="s">
        <v>3111</v>
      </c>
      <c r="B3021">
        <v>388939</v>
      </c>
      <c r="C3021" s="2" t="str">
        <f>"P-50"</f>
        <v>P-50</v>
      </c>
      <c r="D3021" t="s">
        <v>3136</v>
      </c>
      <c r="E3021" t="s">
        <v>4</v>
      </c>
      <c r="F3021">
        <v>34.56</v>
      </c>
      <c r="H3021" t="s">
        <v>5</v>
      </c>
      <c r="I3021" s="1">
        <v>97.39</v>
      </c>
      <c r="J3021" s="1">
        <v>96.42</v>
      </c>
      <c r="K3021" t="s">
        <v>6</v>
      </c>
    </row>
    <row r="3022" spans="1:11">
      <c r="A3022" t="s">
        <v>3111</v>
      </c>
      <c r="B3022">
        <v>388940</v>
      </c>
      <c r="C3022" s="2" t="str">
        <f>"P-55"</f>
        <v>P-55</v>
      </c>
      <c r="D3022" t="s">
        <v>3137</v>
      </c>
      <c r="E3022" t="s">
        <v>4</v>
      </c>
      <c r="F3022">
        <v>40.93</v>
      </c>
      <c r="H3022" t="s">
        <v>5</v>
      </c>
      <c r="I3022" s="1">
        <v>104.97</v>
      </c>
      <c r="J3022" s="1">
        <v>103.93</v>
      </c>
      <c r="K3022" t="s">
        <v>6</v>
      </c>
    </row>
    <row r="3023" spans="1:11">
      <c r="A3023" t="s">
        <v>3111</v>
      </c>
      <c r="B3023">
        <v>430838</v>
      </c>
      <c r="C3023" s="2" t="str">
        <f>"PL1216"</f>
        <v>PL1216</v>
      </c>
      <c r="D3023" t="s">
        <v>3138</v>
      </c>
      <c r="E3023" t="s">
        <v>4</v>
      </c>
      <c r="F3023">
        <v>25.92</v>
      </c>
      <c r="H3023" t="s">
        <v>5</v>
      </c>
      <c r="I3023" s="1">
        <v>54.69</v>
      </c>
      <c r="J3023" s="1">
        <v>54.15</v>
      </c>
      <c r="K3023" t="s">
        <v>6</v>
      </c>
    </row>
    <row r="3024" spans="1:11">
      <c r="A3024" t="s">
        <v>3111</v>
      </c>
      <c r="B3024">
        <v>552352</v>
      </c>
      <c r="C3024" s="2" t="str">
        <f>"PL1216-1"</f>
        <v>PL1216-1</v>
      </c>
      <c r="D3024" t="s">
        <v>3139</v>
      </c>
      <c r="E3024" t="s">
        <v>4</v>
      </c>
      <c r="F3024">
        <v>11</v>
      </c>
      <c r="H3024" t="s">
        <v>5</v>
      </c>
      <c r="I3024" s="1">
        <v>27.87</v>
      </c>
      <c r="J3024" s="1">
        <v>27.6</v>
      </c>
      <c r="K3024" t="s">
        <v>6</v>
      </c>
    </row>
    <row r="3025" spans="1:11">
      <c r="A3025" t="s">
        <v>3111</v>
      </c>
      <c r="B3025">
        <v>388944</v>
      </c>
      <c r="C3025" s="2" t="str">
        <f>"PL-25-1"</f>
        <v>PL-25-1</v>
      </c>
      <c r="D3025" t="s">
        <v>3140</v>
      </c>
      <c r="E3025" t="s">
        <v>4</v>
      </c>
      <c r="F3025">
        <v>24</v>
      </c>
      <c r="H3025" t="s">
        <v>5</v>
      </c>
      <c r="I3025" s="1">
        <v>50.48</v>
      </c>
      <c r="J3025" s="1">
        <v>49.98</v>
      </c>
      <c r="K3025" t="s">
        <v>6</v>
      </c>
    </row>
    <row r="3026" spans="1:11">
      <c r="A3026" t="s">
        <v>3111</v>
      </c>
      <c r="B3026">
        <v>388941</v>
      </c>
      <c r="C3026" s="2" t="str">
        <f>"T-10"</f>
        <v>T-10</v>
      </c>
      <c r="D3026" t="s">
        <v>3141</v>
      </c>
      <c r="E3026" t="s">
        <v>4</v>
      </c>
      <c r="F3026">
        <v>28.06</v>
      </c>
      <c r="H3026" t="s">
        <v>5</v>
      </c>
      <c r="I3026" s="1">
        <v>76.23</v>
      </c>
      <c r="J3026" s="1">
        <v>75.47</v>
      </c>
      <c r="K3026" t="s">
        <v>6</v>
      </c>
    </row>
    <row r="3027" spans="1:11">
      <c r="A3027" t="s">
        <v>3111</v>
      </c>
      <c r="B3027">
        <v>388942</v>
      </c>
      <c r="C3027" s="2" t="str">
        <f>"T-12"</f>
        <v>T-12</v>
      </c>
      <c r="D3027" t="s">
        <v>3142</v>
      </c>
      <c r="E3027" t="s">
        <v>4</v>
      </c>
      <c r="F3027">
        <v>25.45</v>
      </c>
      <c r="H3027" t="s">
        <v>5</v>
      </c>
      <c r="I3027" s="1">
        <v>67.989999999999995</v>
      </c>
      <c r="J3027" s="1">
        <v>67.319999999999993</v>
      </c>
      <c r="K3027" t="s">
        <v>6</v>
      </c>
    </row>
    <row r="3028" spans="1:11">
      <c r="A3028" t="s">
        <v>3111</v>
      </c>
      <c r="B3028">
        <v>389649</v>
      </c>
      <c r="C3028" s="2" t="str">
        <f>"T-6"</f>
        <v>T-6</v>
      </c>
      <c r="D3028" t="s">
        <v>3143</v>
      </c>
      <c r="E3028" t="s">
        <v>4</v>
      </c>
      <c r="F3028">
        <v>20.14</v>
      </c>
      <c r="H3028" t="s">
        <v>5</v>
      </c>
      <c r="I3028" s="1">
        <v>48.64</v>
      </c>
      <c r="J3028" s="1">
        <v>48.16</v>
      </c>
      <c r="K3028" t="s">
        <v>6</v>
      </c>
    </row>
    <row r="3029" spans="1:11">
      <c r="A3029" t="s">
        <v>3111</v>
      </c>
      <c r="B3029">
        <v>388943</v>
      </c>
      <c r="C3029" s="2" t="str">
        <f>"T-6P"</f>
        <v>T-6P</v>
      </c>
      <c r="D3029" t="s">
        <v>3144</v>
      </c>
      <c r="E3029" t="s">
        <v>4</v>
      </c>
      <c r="F3029">
        <v>22.7</v>
      </c>
      <c r="H3029" t="s">
        <v>5</v>
      </c>
      <c r="I3029" s="1">
        <v>46.21</v>
      </c>
      <c r="J3029" s="1">
        <v>45.75</v>
      </c>
      <c r="K3029" t="s">
        <v>6</v>
      </c>
    </row>
    <row r="3030" spans="1:11">
      <c r="A3030" t="s">
        <v>3145</v>
      </c>
      <c r="B3030">
        <v>565502</v>
      </c>
      <c r="C3030" s="2" t="str">
        <f>"1018434"</f>
        <v>1018434</v>
      </c>
      <c r="D3030" t="s">
        <v>3146</v>
      </c>
      <c r="E3030" t="s">
        <v>4</v>
      </c>
      <c r="F3030">
        <v>29.31</v>
      </c>
      <c r="H3030" t="s">
        <v>5</v>
      </c>
      <c r="I3030" s="1">
        <v>67</v>
      </c>
      <c r="J3030" s="1">
        <v>67</v>
      </c>
      <c r="K3030" t="s">
        <v>6</v>
      </c>
    </row>
    <row r="3031" spans="1:11">
      <c r="A3031" t="s">
        <v>3147</v>
      </c>
      <c r="B3031">
        <v>513232</v>
      </c>
      <c r="C3031" s="2" t="str">
        <f>"020543"</f>
        <v>020543</v>
      </c>
      <c r="D3031" t="s">
        <v>3148</v>
      </c>
      <c r="E3031" t="s">
        <v>4</v>
      </c>
      <c r="F3031">
        <v>14.05</v>
      </c>
      <c r="H3031" t="s">
        <v>5</v>
      </c>
      <c r="I3031" s="1">
        <v>73.5</v>
      </c>
      <c r="J3031" s="1">
        <v>73.5</v>
      </c>
      <c r="K3031" t="s">
        <v>6</v>
      </c>
    </row>
    <row r="3032" spans="1:11">
      <c r="A3032" t="s">
        <v>3147</v>
      </c>
      <c r="B3032">
        <v>554463</v>
      </c>
      <c r="C3032" s="2" t="str">
        <f>"046115"</f>
        <v>046115</v>
      </c>
      <c r="D3032" t="s">
        <v>3149</v>
      </c>
      <c r="E3032" t="s">
        <v>4</v>
      </c>
      <c r="F3032">
        <v>9.75</v>
      </c>
      <c r="H3032" t="s">
        <v>5</v>
      </c>
      <c r="I3032" s="1">
        <v>46.14</v>
      </c>
      <c r="J3032" s="1">
        <v>45.24</v>
      </c>
      <c r="K3032" t="s">
        <v>6</v>
      </c>
    </row>
    <row r="3033" spans="1:11">
      <c r="A3033" t="s">
        <v>3147</v>
      </c>
      <c r="B3033">
        <v>513288</v>
      </c>
      <c r="C3033" s="2" t="str">
        <f>"114000"</f>
        <v>114000</v>
      </c>
      <c r="D3033" t="s">
        <v>3150</v>
      </c>
      <c r="E3033" t="s">
        <v>4</v>
      </c>
      <c r="F3033">
        <v>6.1</v>
      </c>
      <c r="H3033" t="s">
        <v>5</v>
      </c>
      <c r="I3033" s="1">
        <v>18.05</v>
      </c>
      <c r="J3033" s="1">
        <v>17.690000000000001</v>
      </c>
      <c r="K3033" t="s">
        <v>6</v>
      </c>
    </row>
    <row r="3034" spans="1:11">
      <c r="A3034" t="s">
        <v>3147</v>
      </c>
      <c r="B3034">
        <v>513277</v>
      </c>
      <c r="C3034" s="2" t="str">
        <f>"119971"</f>
        <v>119971</v>
      </c>
      <c r="D3034" t="s">
        <v>3151</v>
      </c>
      <c r="E3034" t="s">
        <v>4</v>
      </c>
      <c r="F3034">
        <v>7.45</v>
      </c>
      <c r="H3034" t="s">
        <v>5</v>
      </c>
      <c r="I3034" s="1">
        <v>58.54</v>
      </c>
      <c r="J3034" s="1">
        <v>57.4</v>
      </c>
      <c r="K3034" t="s">
        <v>6</v>
      </c>
    </row>
    <row r="3035" spans="1:11">
      <c r="A3035" t="s">
        <v>3147</v>
      </c>
      <c r="B3035">
        <v>513275</v>
      </c>
      <c r="C3035" s="2" t="str">
        <f>"125043"</f>
        <v>125043</v>
      </c>
      <c r="D3035" t="s">
        <v>3152</v>
      </c>
      <c r="E3035" t="s">
        <v>4</v>
      </c>
      <c r="F3035">
        <v>16.350000000000001</v>
      </c>
      <c r="H3035" t="s">
        <v>5</v>
      </c>
      <c r="I3035" s="1">
        <v>63.12</v>
      </c>
      <c r="J3035" s="1">
        <v>61.88</v>
      </c>
      <c r="K3035" t="s">
        <v>6</v>
      </c>
    </row>
    <row r="3036" spans="1:11">
      <c r="A3036" t="s">
        <v>3147</v>
      </c>
      <c r="B3036">
        <v>567552</v>
      </c>
      <c r="C3036" s="2" t="str">
        <f>"126374"</f>
        <v>126374</v>
      </c>
      <c r="D3036" t="s">
        <v>3153</v>
      </c>
      <c r="E3036" t="s">
        <v>4</v>
      </c>
      <c r="F3036">
        <v>8.5</v>
      </c>
      <c r="H3036" t="s">
        <v>5</v>
      </c>
      <c r="I3036" s="1">
        <v>33.08</v>
      </c>
      <c r="J3036" s="1">
        <v>32.44</v>
      </c>
      <c r="K3036" t="s">
        <v>6</v>
      </c>
    </row>
    <row r="3037" spans="1:11">
      <c r="A3037" t="s">
        <v>3147</v>
      </c>
      <c r="B3037">
        <v>567553</v>
      </c>
      <c r="C3037" s="2" t="str">
        <f>"126510"</f>
        <v>126510</v>
      </c>
      <c r="D3037" t="s">
        <v>3154</v>
      </c>
      <c r="E3037" t="s">
        <v>4</v>
      </c>
      <c r="F3037">
        <v>4.99</v>
      </c>
      <c r="H3037" t="s">
        <v>5</v>
      </c>
      <c r="I3037" s="1">
        <v>25.33</v>
      </c>
      <c r="J3037" s="1">
        <v>24.83</v>
      </c>
      <c r="K3037" t="s">
        <v>6</v>
      </c>
    </row>
    <row r="3038" spans="1:11">
      <c r="A3038" t="s">
        <v>3147</v>
      </c>
      <c r="B3038">
        <v>560188</v>
      </c>
      <c r="C3038" s="2" t="str">
        <f>"180300"</f>
        <v>180300</v>
      </c>
      <c r="D3038" t="s">
        <v>3155</v>
      </c>
      <c r="E3038" t="s">
        <v>4</v>
      </c>
      <c r="F3038">
        <v>5.15</v>
      </c>
      <c r="H3038" t="s">
        <v>5</v>
      </c>
      <c r="I3038" s="1">
        <v>23.09</v>
      </c>
      <c r="J3038" s="1">
        <v>22.63</v>
      </c>
      <c r="K3038" t="s">
        <v>6</v>
      </c>
    </row>
    <row r="3039" spans="1:11">
      <c r="A3039" t="s">
        <v>3147</v>
      </c>
      <c r="B3039">
        <v>560249</v>
      </c>
      <c r="C3039" s="2" t="str">
        <f>"180313"</f>
        <v>180313</v>
      </c>
      <c r="D3039" t="s">
        <v>3156</v>
      </c>
      <c r="E3039" t="s">
        <v>4</v>
      </c>
      <c r="F3039">
        <v>5.15</v>
      </c>
      <c r="H3039" t="s">
        <v>5</v>
      </c>
      <c r="I3039" s="1">
        <v>34.200000000000003</v>
      </c>
      <c r="J3039" s="1">
        <v>34.200000000000003</v>
      </c>
      <c r="K3039" t="s">
        <v>6</v>
      </c>
    </row>
    <row r="3040" spans="1:11">
      <c r="A3040" t="s">
        <v>3147</v>
      </c>
      <c r="B3040">
        <v>560159</v>
      </c>
      <c r="C3040" s="2" t="str">
        <f>"180513"</f>
        <v>180513</v>
      </c>
      <c r="D3040" t="s">
        <v>3157</v>
      </c>
      <c r="E3040" t="s">
        <v>4</v>
      </c>
      <c r="F3040">
        <v>13.45</v>
      </c>
      <c r="H3040" t="s">
        <v>5</v>
      </c>
      <c r="I3040" s="1">
        <v>77.08</v>
      </c>
      <c r="J3040" s="1">
        <v>75.569999999999993</v>
      </c>
      <c r="K3040" t="s">
        <v>6</v>
      </c>
    </row>
    <row r="3041" spans="1:11">
      <c r="A3041" t="s">
        <v>3147</v>
      </c>
      <c r="B3041">
        <v>562524</v>
      </c>
      <c r="C3041" s="2" t="str">
        <f>"180600"</f>
        <v>180600</v>
      </c>
      <c r="D3041" t="s">
        <v>3158</v>
      </c>
      <c r="E3041" t="s">
        <v>4</v>
      </c>
      <c r="F3041">
        <v>18</v>
      </c>
      <c r="H3041" t="s">
        <v>5</v>
      </c>
      <c r="I3041" s="1">
        <v>56.41</v>
      </c>
      <c r="J3041" s="1">
        <v>55.3</v>
      </c>
      <c r="K3041" t="s">
        <v>6</v>
      </c>
    </row>
    <row r="3042" spans="1:11">
      <c r="A3042" t="s">
        <v>3147</v>
      </c>
      <c r="B3042">
        <v>513279</v>
      </c>
      <c r="C3042" s="2" t="str">
        <f>"210130"</f>
        <v>210130</v>
      </c>
      <c r="D3042" t="s">
        <v>3159</v>
      </c>
      <c r="E3042" t="s">
        <v>4</v>
      </c>
      <c r="F3042">
        <v>10.5</v>
      </c>
      <c r="H3042" t="s">
        <v>5</v>
      </c>
      <c r="I3042" s="1">
        <v>63.34</v>
      </c>
      <c r="J3042" s="1">
        <v>63.34</v>
      </c>
      <c r="K3042" t="s">
        <v>6</v>
      </c>
    </row>
    <row r="3043" spans="1:11">
      <c r="A3043" t="s">
        <v>3147</v>
      </c>
      <c r="B3043">
        <v>513280</v>
      </c>
      <c r="C3043" s="2" t="str">
        <f>"260045"</f>
        <v>260045</v>
      </c>
      <c r="D3043" t="s">
        <v>3160</v>
      </c>
      <c r="E3043" t="s">
        <v>4</v>
      </c>
      <c r="F3043">
        <v>6.85</v>
      </c>
      <c r="H3043" t="s">
        <v>5</v>
      </c>
      <c r="I3043" s="1">
        <v>18.5</v>
      </c>
      <c r="J3043" s="1">
        <v>18.14</v>
      </c>
      <c r="K3043" t="s">
        <v>6</v>
      </c>
    </row>
    <row r="3044" spans="1:11">
      <c r="A3044" t="s">
        <v>3147</v>
      </c>
      <c r="B3044">
        <v>513317</v>
      </c>
      <c r="C3044" s="2" t="str">
        <f>"310468"</f>
        <v>310468</v>
      </c>
      <c r="D3044" t="s">
        <v>3161</v>
      </c>
      <c r="E3044" t="s">
        <v>4</v>
      </c>
      <c r="F3044">
        <v>10.35</v>
      </c>
      <c r="H3044" t="s">
        <v>5</v>
      </c>
      <c r="I3044" s="1">
        <v>22.46</v>
      </c>
      <c r="J3044" s="1">
        <v>22.46</v>
      </c>
      <c r="K3044" t="s">
        <v>6</v>
      </c>
    </row>
    <row r="3045" spans="1:11">
      <c r="A3045" t="s">
        <v>3147</v>
      </c>
      <c r="B3045">
        <v>515390</v>
      </c>
      <c r="C3045" s="2" t="str">
        <f>"310469"</f>
        <v>310469</v>
      </c>
      <c r="D3045" t="s">
        <v>3162</v>
      </c>
      <c r="E3045" t="s">
        <v>4</v>
      </c>
      <c r="F3045">
        <v>11.05</v>
      </c>
      <c r="H3045" t="s">
        <v>5</v>
      </c>
      <c r="I3045" s="1">
        <v>22.06</v>
      </c>
      <c r="J3045" s="1">
        <v>21.63</v>
      </c>
      <c r="K3045" t="s">
        <v>6</v>
      </c>
    </row>
    <row r="3046" spans="1:11">
      <c r="A3046" t="s">
        <v>3147</v>
      </c>
      <c r="B3046">
        <v>513262</v>
      </c>
      <c r="C3046" s="2" t="str">
        <f>"310521"</f>
        <v>310521</v>
      </c>
      <c r="D3046" t="s">
        <v>3163</v>
      </c>
      <c r="E3046" t="s">
        <v>4</v>
      </c>
      <c r="F3046">
        <v>10.5</v>
      </c>
      <c r="H3046" t="s">
        <v>5</v>
      </c>
      <c r="I3046" s="1">
        <v>33.72</v>
      </c>
      <c r="J3046" s="1">
        <v>33.72</v>
      </c>
      <c r="K3046" t="s">
        <v>6</v>
      </c>
    </row>
    <row r="3047" spans="1:11">
      <c r="A3047" t="s">
        <v>3147</v>
      </c>
      <c r="B3047">
        <v>513264</v>
      </c>
      <c r="C3047" s="2" t="str">
        <f>"310523"</f>
        <v>310523</v>
      </c>
      <c r="D3047" t="s">
        <v>3164</v>
      </c>
      <c r="E3047" t="s">
        <v>4</v>
      </c>
      <c r="F3047">
        <v>10.5</v>
      </c>
      <c r="H3047" t="s">
        <v>5</v>
      </c>
      <c r="I3047" s="1">
        <v>33.72</v>
      </c>
      <c r="J3047" s="1">
        <v>33.72</v>
      </c>
      <c r="K3047" t="s">
        <v>6</v>
      </c>
    </row>
    <row r="3048" spans="1:11">
      <c r="A3048" t="s">
        <v>3147</v>
      </c>
      <c r="B3048">
        <v>513265</v>
      </c>
      <c r="C3048" s="2" t="str">
        <f>"310524"</f>
        <v>310524</v>
      </c>
      <c r="D3048" t="s">
        <v>3165</v>
      </c>
      <c r="E3048" t="s">
        <v>4</v>
      </c>
      <c r="F3048">
        <v>10.5</v>
      </c>
      <c r="H3048" t="s">
        <v>5</v>
      </c>
      <c r="I3048" s="1">
        <v>33.72</v>
      </c>
      <c r="J3048" s="1">
        <v>33.72</v>
      </c>
      <c r="K3048" t="s">
        <v>6</v>
      </c>
    </row>
    <row r="3049" spans="1:11">
      <c r="A3049" t="s">
        <v>3147</v>
      </c>
      <c r="B3049">
        <v>513261</v>
      </c>
      <c r="C3049" s="2" t="str">
        <f>"310525"</f>
        <v>310525</v>
      </c>
      <c r="D3049" t="s">
        <v>3166</v>
      </c>
      <c r="E3049" t="s">
        <v>4</v>
      </c>
      <c r="F3049">
        <v>10.5</v>
      </c>
      <c r="H3049" t="s">
        <v>5</v>
      </c>
      <c r="I3049" s="1">
        <v>33.72</v>
      </c>
      <c r="J3049" s="1">
        <v>33.72</v>
      </c>
      <c r="K3049" t="s">
        <v>6</v>
      </c>
    </row>
    <row r="3050" spans="1:11">
      <c r="A3050" t="s">
        <v>3147</v>
      </c>
      <c r="B3050">
        <v>513266</v>
      </c>
      <c r="C3050" s="2" t="str">
        <f>"310528"</f>
        <v>310528</v>
      </c>
      <c r="D3050" t="s">
        <v>3167</v>
      </c>
      <c r="E3050" t="s">
        <v>4</v>
      </c>
      <c r="F3050">
        <v>10.5</v>
      </c>
      <c r="H3050" t="s">
        <v>5</v>
      </c>
      <c r="I3050" s="1">
        <v>33.72</v>
      </c>
      <c r="J3050" s="1">
        <v>33.72</v>
      </c>
      <c r="K3050" t="s">
        <v>6</v>
      </c>
    </row>
    <row r="3051" spans="1:11">
      <c r="A3051" t="s">
        <v>3147</v>
      </c>
      <c r="B3051">
        <v>513267</v>
      </c>
      <c r="C3051" s="2" t="str">
        <f>"310551"</f>
        <v>310551</v>
      </c>
      <c r="D3051" t="s">
        <v>3168</v>
      </c>
      <c r="E3051" t="s">
        <v>4</v>
      </c>
      <c r="F3051">
        <v>10.5</v>
      </c>
      <c r="H3051" t="s">
        <v>5</v>
      </c>
      <c r="I3051" s="1">
        <v>33.72</v>
      </c>
      <c r="J3051" s="1">
        <v>33.72</v>
      </c>
      <c r="K3051" t="s">
        <v>6</v>
      </c>
    </row>
    <row r="3052" spans="1:11">
      <c r="A3052" t="s">
        <v>3147</v>
      </c>
      <c r="B3052">
        <v>567544</v>
      </c>
      <c r="C3052" s="2" t="str">
        <f>"311089"</f>
        <v>311089</v>
      </c>
      <c r="D3052" t="s">
        <v>3169</v>
      </c>
      <c r="E3052" t="s">
        <v>4</v>
      </c>
      <c r="F3052">
        <v>12.45</v>
      </c>
      <c r="H3052" t="s">
        <v>5</v>
      </c>
      <c r="I3052" s="1">
        <v>31.36</v>
      </c>
      <c r="J3052" s="1">
        <v>30.75</v>
      </c>
      <c r="K3052" t="s">
        <v>6</v>
      </c>
    </row>
    <row r="3053" spans="1:11">
      <c r="A3053" t="s">
        <v>3147</v>
      </c>
      <c r="B3053">
        <v>567119</v>
      </c>
      <c r="C3053" s="2" t="str">
        <f>"311090"</f>
        <v>311090</v>
      </c>
      <c r="D3053" t="s">
        <v>3170</v>
      </c>
      <c r="E3053" t="s">
        <v>4</v>
      </c>
      <c r="F3053">
        <v>12.45</v>
      </c>
      <c r="H3053" t="s">
        <v>5</v>
      </c>
      <c r="I3053" s="1">
        <v>31.36</v>
      </c>
      <c r="J3053" s="1">
        <v>30.75</v>
      </c>
      <c r="K3053" t="s">
        <v>6</v>
      </c>
    </row>
    <row r="3054" spans="1:11">
      <c r="A3054" t="s">
        <v>3147</v>
      </c>
      <c r="B3054">
        <v>513311</v>
      </c>
      <c r="C3054" s="2" t="str">
        <f>"326069"</f>
        <v>326069</v>
      </c>
      <c r="D3054" t="s">
        <v>3171</v>
      </c>
      <c r="E3054" t="s">
        <v>4</v>
      </c>
      <c r="F3054">
        <v>11.9</v>
      </c>
      <c r="H3054" t="s">
        <v>5</v>
      </c>
      <c r="I3054" s="1">
        <v>48.73</v>
      </c>
      <c r="J3054" s="1">
        <v>47.78</v>
      </c>
      <c r="K3054" t="s">
        <v>6</v>
      </c>
    </row>
    <row r="3055" spans="1:11">
      <c r="A3055" t="s">
        <v>3147</v>
      </c>
      <c r="B3055">
        <v>516802</v>
      </c>
      <c r="C3055" s="2" t="str">
        <f>"345000"</f>
        <v>345000</v>
      </c>
      <c r="D3055" t="s">
        <v>3172</v>
      </c>
      <c r="E3055" t="s">
        <v>4</v>
      </c>
      <c r="F3055">
        <v>10.95</v>
      </c>
      <c r="H3055" t="s">
        <v>5</v>
      </c>
      <c r="I3055" s="1">
        <v>22.1</v>
      </c>
      <c r="J3055" s="1">
        <v>21.67</v>
      </c>
      <c r="K3055" t="s">
        <v>6</v>
      </c>
    </row>
    <row r="3056" spans="1:11">
      <c r="A3056" t="s">
        <v>3147</v>
      </c>
      <c r="B3056">
        <v>513301</v>
      </c>
      <c r="C3056" s="2" t="str">
        <f>"500233"</f>
        <v>500233</v>
      </c>
      <c r="D3056" t="s">
        <v>3173</v>
      </c>
      <c r="E3056" t="s">
        <v>4</v>
      </c>
      <c r="F3056">
        <v>1.1000000000000001</v>
      </c>
      <c r="H3056" t="s">
        <v>5</v>
      </c>
      <c r="I3056" s="1">
        <v>9.19</v>
      </c>
      <c r="J3056" s="1">
        <v>9.01</v>
      </c>
      <c r="K3056" t="s">
        <v>6</v>
      </c>
    </row>
    <row r="3057" spans="1:11">
      <c r="A3057" t="s">
        <v>3147</v>
      </c>
      <c r="B3057">
        <v>513302</v>
      </c>
      <c r="C3057" s="2" t="str">
        <f>"500234"</f>
        <v>500234</v>
      </c>
      <c r="D3057" t="s">
        <v>3174</v>
      </c>
      <c r="E3057" t="s">
        <v>4</v>
      </c>
      <c r="F3057">
        <v>1.6</v>
      </c>
      <c r="H3057" t="s">
        <v>5</v>
      </c>
      <c r="I3057" s="1">
        <v>9.83</v>
      </c>
      <c r="J3057" s="1">
        <v>9.6300000000000008</v>
      </c>
      <c r="K3057" t="s">
        <v>6</v>
      </c>
    </row>
    <row r="3058" spans="1:11">
      <c r="A3058" t="s">
        <v>3147</v>
      </c>
      <c r="B3058">
        <v>513303</v>
      </c>
      <c r="C3058" s="2" t="str">
        <f>"500235"</f>
        <v>500235</v>
      </c>
      <c r="D3058" t="s">
        <v>3175</v>
      </c>
      <c r="E3058" t="s">
        <v>4</v>
      </c>
      <c r="F3058">
        <v>2.2000000000000002</v>
      </c>
      <c r="H3058" t="s">
        <v>5</v>
      </c>
      <c r="I3058" s="1">
        <v>13.39</v>
      </c>
      <c r="J3058" s="1">
        <v>13.13</v>
      </c>
      <c r="K3058" t="s">
        <v>6</v>
      </c>
    </row>
    <row r="3059" spans="1:11">
      <c r="A3059" t="s">
        <v>3147</v>
      </c>
      <c r="B3059">
        <v>513306</v>
      </c>
      <c r="C3059" s="2" t="str">
        <f>"500238"</f>
        <v>500238</v>
      </c>
      <c r="D3059" t="s">
        <v>3176</v>
      </c>
      <c r="E3059" t="s">
        <v>4</v>
      </c>
      <c r="F3059">
        <v>5.6</v>
      </c>
      <c r="H3059" t="s">
        <v>5</v>
      </c>
      <c r="I3059" s="1">
        <v>32.26</v>
      </c>
      <c r="J3059" s="1">
        <v>31.63</v>
      </c>
      <c r="K3059" t="s">
        <v>6</v>
      </c>
    </row>
    <row r="3060" spans="1:11">
      <c r="A3060" t="s">
        <v>3147</v>
      </c>
      <c r="B3060">
        <v>513307</v>
      </c>
      <c r="C3060" s="2" t="str">
        <f>"500239"</f>
        <v>500239</v>
      </c>
      <c r="D3060" t="s">
        <v>3177</v>
      </c>
      <c r="E3060" t="s">
        <v>4</v>
      </c>
      <c r="F3060">
        <v>7.75</v>
      </c>
      <c r="H3060" t="s">
        <v>5</v>
      </c>
      <c r="I3060" s="1">
        <v>42.66</v>
      </c>
      <c r="J3060" s="1">
        <v>41.82</v>
      </c>
      <c r="K3060" t="s">
        <v>6</v>
      </c>
    </row>
    <row r="3061" spans="1:11">
      <c r="A3061" t="s">
        <v>3147</v>
      </c>
      <c r="B3061">
        <v>516290</v>
      </c>
      <c r="C3061" s="2" t="str">
        <f>"810012"</f>
        <v>810012</v>
      </c>
      <c r="D3061" t="s">
        <v>3178</v>
      </c>
      <c r="E3061" t="s">
        <v>4</v>
      </c>
      <c r="F3061">
        <v>38.299999999999997</v>
      </c>
      <c r="H3061" t="s">
        <v>5</v>
      </c>
      <c r="I3061" s="1">
        <v>109.4</v>
      </c>
      <c r="J3061" s="1">
        <v>107.25</v>
      </c>
      <c r="K3061" t="s">
        <v>6</v>
      </c>
    </row>
    <row r="3062" spans="1:11">
      <c r="A3062" t="s">
        <v>3147</v>
      </c>
      <c r="B3062">
        <v>567557</v>
      </c>
      <c r="C3062" s="2" t="str">
        <f>"830342"</f>
        <v>830342</v>
      </c>
      <c r="D3062" t="s">
        <v>3179</v>
      </c>
      <c r="E3062" t="s">
        <v>4</v>
      </c>
      <c r="F3062">
        <v>29.5</v>
      </c>
      <c r="H3062" t="s">
        <v>5</v>
      </c>
      <c r="I3062" s="1">
        <v>75.180000000000007</v>
      </c>
      <c r="J3062" s="1">
        <v>73.709999999999994</v>
      </c>
      <c r="K3062" t="s">
        <v>6</v>
      </c>
    </row>
    <row r="3063" spans="1:11">
      <c r="A3063" t="s">
        <v>3147</v>
      </c>
      <c r="B3063">
        <v>567558</v>
      </c>
      <c r="C3063" s="2" t="str">
        <f>"830343"</f>
        <v>830343</v>
      </c>
      <c r="D3063" t="s">
        <v>3179</v>
      </c>
      <c r="E3063" t="s">
        <v>4</v>
      </c>
      <c r="F3063">
        <v>29.5</v>
      </c>
      <c r="H3063" t="s">
        <v>5</v>
      </c>
      <c r="I3063" s="1">
        <v>75.180000000000007</v>
      </c>
      <c r="J3063" s="1">
        <v>73.709999999999994</v>
      </c>
      <c r="K3063" t="s">
        <v>6</v>
      </c>
    </row>
    <row r="3064" spans="1:11">
      <c r="A3064" t="s">
        <v>3147</v>
      </c>
      <c r="B3064">
        <v>567545</v>
      </c>
      <c r="C3064" s="2" t="str">
        <f>"831210"</f>
        <v>831210</v>
      </c>
      <c r="D3064" t="s">
        <v>3180</v>
      </c>
      <c r="E3064" t="s">
        <v>4</v>
      </c>
      <c r="F3064">
        <v>14.2</v>
      </c>
      <c r="H3064" t="s">
        <v>5</v>
      </c>
      <c r="I3064" s="1">
        <v>44.42</v>
      </c>
      <c r="J3064" s="1">
        <v>43.55</v>
      </c>
      <c r="K3064" t="s">
        <v>6</v>
      </c>
    </row>
    <row r="3065" spans="1:11">
      <c r="A3065" t="s">
        <v>3147</v>
      </c>
      <c r="B3065">
        <v>567555</v>
      </c>
      <c r="C3065" s="2" t="str">
        <f>"831211"</f>
        <v>831211</v>
      </c>
      <c r="D3065" t="s">
        <v>3181</v>
      </c>
      <c r="E3065" t="s">
        <v>4</v>
      </c>
      <c r="F3065">
        <v>14.2</v>
      </c>
      <c r="H3065" t="s">
        <v>5</v>
      </c>
      <c r="I3065" s="1">
        <v>48.33</v>
      </c>
      <c r="J3065" s="1">
        <v>47.39</v>
      </c>
      <c r="K3065" t="s">
        <v>6</v>
      </c>
    </row>
    <row r="3066" spans="1:11">
      <c r="A3066" t="s">
        <v>3147</v>
      </c>
      <c r="B3066">
        <v>567554</v>
      </c>
      <c r="C3066" s="2" t="str">
        <f>"831327"</f>
        <v>831327</v>
      </c>
      <c r="D3066" t="s">
        <v>3182</v>
      </c>
      <c r="E3066" t="s">
        <v>4</v>
      </c>
      <c r="F3066">
        <v>3.12</v>
      </c>
      <c r="H3066" t="s">
        <v>5</v>
      </c>
      <c r="I3066" s="1">
        <v>31.76</v>
      </c>
      <c r="J3066" s="1">
        <v>31.14</v>
      </c>
      <c r="K3066" t="s">
        <v>6</v>
      </c>
    </row>
    <row r="3067" spans="1:11">
      <c r="A3067" t="s">
        <v>3147</v>
      </c>
      <c r="B3067">
        <v>567546</v>
      </c>
      <c r="C3067" s="2" t="str">
        <f>"831329"</f>
        <v>831329</v>
      </c>
      <c r="D3067" t="s">
        <v>3183</v>
      </c>
      <c r="E3067" t="s">
        <v>4</v>
      </c>
      <c r="F3067">
        <v>4.99</v>
      </c>
      <c r="H3067" t="s">
        <v>5</v>
      </c>
      <c r="I3067" s="1">
        <v>25.33</v>
      </c>
      <c r="J3067" s="1">
        <v>24.83</v>
      </c>
      <c r="K3067" t="s">
        <v>6</v>
      </c>
    </row>
    <row r="3068" spans="1:11">
      <c r="A3068" t="s">
        <v>3147</v>
      </c>
      <c r="B3068">
        <v>567556</v>
      </c>
      <c r="C3068" s="2" t="str">
        <f>"831330"</f>
        <v>831330</v>
      </c>
      <c r="D3068" t="s">
        <v>3184</v>
      </c>
      <c r="E3068" t="s">
        <v>4</v>
      </c>
      <c r="F3068">
        <v>5.7</v>
      </c>
      <c r="H3068" t="s">
        <v>5</v>
      </c>
      <c r="I3068" s="1">
        <v>26.32</v>
      </c>
      <c r="J3068" s="1">
        <v>25.81</v>
      </c>
      <c r="K3068" t="s">
        <v>6</v>
      </c>
    </row>
    <row r="3069" spans="1:11">
      <c r="A3069" t="s">
        <v>3147</v>
      </c>
      <c r="B3069">
        <v>513276</v>
      </c>
      <c r="C3069" s="2" t="str">
        <f>"856499"</f>
        <v>856499</v>
      </c>
      <c r="D3069" t="s">
        <v>3185</v>
      </c>
      <c r="E3069" t="s">
        <v>4</v>
      </c>
      <c r="F3069">
        <v>8.5500000000000007</v>
      </c>
      <c r="H3069" t="s">
        <v>5</v>
      </c>
      <c r="I3069" s="1">
        <v>50.57</v>
      </c>
      <c r="J3069" s="1">
        <v>49.58</v>
      </c>
      <c r="K3069" t="s">
        <v>6</v>
      </c>
    </row>
    <row r="3070" spans="1:11">
      <c r="A3070" t="s">
        <v>3147</v>
      </c>
      <c r="B3070">
        <v>513321</v>
      </c>
      <c r="C3070" s="2" t="str">
        <f>"883062"</f>
        <v>883062</v>
      </c>
      <c r="D3070" t="s">
        <v>3186</v>
      </c>
      <c r="E3070" t="s">
        <v>4</v>
      </c>
      <c r="F3070">
        <v>7.75</v>
      </c>
      <c r="H3070" t="s">
        <v>5</v>
      </c>
      <c r="I3070" s="1">
        <v>68.89</v>
      </c>
      <c r="J3070" s="1">
        <v>67.540000000000006</v>
      </c>
      <c r="K3070" t="s">
        <v>6</v>
      </c>
    </row>
    <row r="3071" spans="1:11">
      <c r="A3071" t="s">
        <v>3147</v>
      </c>
      <c r="B3071">
        <v>513323</v>
      </c>
      <c r="C3071" s="2" t="str">
        <f>"883064"</f>
        <v>883064</v>
      </c>
      <c r="D3071" t="s">
        <v>3187</v>
      </c>
      <c r="E3071" t="s">
        <v>4</v>
      </c>
      <c r="F3071">
        <v>7.75</v>
      </c>
      <c r="H3071" t="s">
        <v>5</v>
      </c>
      <c r="I3071" s="1">
        <v>72.33</v>
      </c>
      <c r="J3071" s="1">
        <v>70.92</v>
      </c>
      <c r="K3071" t="s">
        <v>6</v>
      </c>
    </row>
    <row r="3072" spans="1:11">
      <c r="A3072" t="s">
        <v>3147</v>
      </c>
      <c r="B3072">
        <v>513320</v>
      </c>
      <c r="C3072" s="2" t="str">
        <f>"883072"</f>
        <v>883072</v>
      </c>
      <c r="D3072" t="s">
        <v>3188</v>
      </c>
      <c r="E3072" t="s">
        <v>4</v>
      </c>
      <c r="F3072">
        <v>7.75</v>
      </c>
      <c r="H3072" t="s">
        <v>5</v>
      </c>
      <c r="I3072" s="1">
        <v>72.33</v>
      </c>
      <c r="J3072" s="1">
        <v>70.92</v>
      </c>
      <c r="K3072" t="s">
        <v>6</v>
      </c>
    </row>
    <row r="3073" spans="1:11">
      <c r="A3073" t="s">
        <v>3147</v>
      </c>
      <c r="B3073">
        <v>476708</v>
      </c>
      <c r="C3073" s="2" t="str">
        <f>"C338WHT"</f>
        <v>C338WHT</v>
      </c>
      <c r="D3073" t="s">
        <v>3189</v>
      </c>
      <c r="E3073" t="s">
        <v>4</v>
      </c>
      <c r="F3073">
        <v>7.1</v>
      </c>
      <c r="H3073" t="s">
        <v>5</v>
      </c>
      <c r="I3073" s="1">
        <v>18.920000000000002</v>
      </c>
      <c r="J3073" s="1">
        <v>18.55</v>
      </c>
      <c r="K3073" t="s">
        <v>6</v>
      </c>
    </row>
    <row r="3074" spans="1:11">
      <c r="A3074" t="s">
        <v>3147</v>
      </c>
      <c r="B3074">
        <v>435746</v>
      </c>
      <c r="C3074" s="2" t="str">
        <f>"CK37501"</f>
        <v>CK37501</v>
      </c>
      <c r="D3074" t="s">
        <v>3190</v>
      </c>
      <c r="E3074" t="s">
        <v>4</v>
      </c>
      <c r="F3074">
        <v>3</v>
      </c>
      <c r="H3074" t="s">
        <v>5</v>
      </c>
      <c r="I3074" s="1">
        <v>27.65</v>
      </c>
      <c r="J3074" s="1">
        <v>27.11</v>
      </c>
      <c r="K3074" t="s">
        <v>6</v>
      </c>
    </row>
    <row r="3075" spans="1:11">
      <c r="A3075" t="s">
        <v>3147</v>
      </c>
      <c r="B3075">
        <v>477066</v>
      </c>
      <c r="C3075" s="2" t="str">
        <f>"CKLS100BLK"</f>
        <v>CKLS100BLK</v>
      </c>
      <c r="D3075" t="s">
        <v>3191</v>
      </c>
      <c r="E3075" t="s">
        <v>4</v>
      </c>
      <c r="F3075">
        <v>7.45</v>
      </c>
      <c r="H3075" t="s">
        <v>5</v>
      </c>
      <c r="I3075" s="1">
        <v>65.62</v>
      </c>
      <c r="J3075" s="1">
        <v>64.34</v>
      </c>
      <c r="K3075" t="s">
        <v>6</v>
      </c>
    </row>
    <row r="3076" spans="1:11">
      <c r="A3076" t="s">
        <v>3147</v>
      </c>
      <c r="B3076">
        <v>399420</v>
      </c>
      <c r="C3076" s="2" t="str">
        <f>"D3010110"</f>
        <v>D3010110</v>
      </c>
      <c r="D3076" t="s">
        <v>3192</v>
      </c>
      <c r="E3076" t="s">
        <v>4</v>
      </c>
      <c r="F3076">
        <v>47.5</v>
      </c>
      <c r="H3076" t="s">
        <v>5</v>
      </c>
      <c r="I3076" s="1">
        <v>137.69</v>
      </c>
      <c r="J3076" s="1">
        <v>134.99</v>
      </c>
      <c r="K3076" t="s">
        <v>6</v>
      </c>
    </row>
    <row r="3077" spans="1:11">
      <c r="A3077" t="s">
        <v>3147</v>
      </c>
      <c r="B3077">
        <v>399421</v>
      </c>
      <c r="C3077" s="2" t="str">
        <f>"D3010112"</f>
        <v>D3010112</v>
      </c>
      <c r="D3077" t="s">
        <v>3193</v>
      </c>
      <c r="E3077" t="s">
        <v>4</v>
      </c>
      <c r="F3077">
        <v>67.510000000000005</v>
      </c>
      <c r="H3077" t="s">
        <v>5</v>
      </c>
      <c r="I3077" s="1">
        <v>175.76</v>
      </c>
      <c r="J3077" s="1">
        <v>172.32</v>
      </c>
      <c r="K3077" t="s">
        <v>6</v>
      </c>
    </row>
    <row r="3078" spans="1:11">
      <c r="A3078" t="s">
        <v>3147</v>
      </c>
      <c r="B3078">
        <v>399417</v>
      </c>
      <c r="C3078" s="2" t="str">
        <f>"D301015"</f>
        <v>D301015</v>
      </c>
      <c r="D3078" t="s">
        <v>3194</v>
      </c>
      <c r="E3078" t="s">
        <v>4</v>
      </c>
      <c r="F3078">
        <v>26.3</v>
      </c>
      <c r="H3078" t="s">
        <v>5</v>
      </c>
      <c r="I3078" s="1">
        <v>88.11</v>
      </c>
      <c r="J3078" s="1">
        <v>86.39</v>
      </c>
      <c r="K3078" t="s">
        <v>6</v>
      </c>
    </row>
    <row r="3079" spans="1:11">
      <c r="A3079" t="s">
        <v>3147</v>
      </c>
      <c r="B3079">
        <v>399418</v>
      </c>
      <c r="C3079" s="2" t="str">
        <f>"D301016"</f>
        <v>D301016</v>
      </c>
      <c r="D3079" t="s">
        <v>3195</v>
      </c>
      <c r="E3079" t="s">
        <v>4</v>
      </c>
      <c r="F3079">
        <v>37.5</v>
      </c>
      <c r="H3079" t="s">
        <v>5</v>
      </c>
      <c r="I3079" s="1">
        <v>118.7</v>
      </c>
      <c r="J3079" s="1">
        <v>116.38</v>
      </c>
      <c r="K3079" t="s">
        <v>6</v>
      </c>
    </row>
    <row r="3080" spans="1:11">
      <c r="A3080" t="s">
        <v>3147</v>
      </c>
      <c r="B3080">
        <v>399419</v>
      </c>
      <c r="C3080" s="2" t="str">
        <f>"D301018"</f>
        <v>D301018</v>
      </c>
      <c r="D3080" t="s">
        <v>3196</v>
      </c>
      <c r="E3080" t="s">
        <v>4</v>
      </c>
      <c r="F3080">
        <v>30.7</v>
      </c>
      <c r="H3080" t="s">
        <v>5</v>
      </c>
      <c r="I3080" s="1">
        <v>107.31</v>
      </c>
      <c r="J3080" s="1">
        <v>105.21</v>
      </c>
      <c r="K3080" t="s">
        <v>6</v>
      </c>
    </row>
    <row r="3081" spans="1:11">
      <c r="A3081" t="s">
        <v>3147</v>
      </c>
      <c r="B3081">
        <v>534784</v>
      </c>
      <c r="C3081" s="2" t="str">
        <f>"FP1200"</f>
        <v>FP1200</v>
      </c>
      <c r="D3081" t="s">
        <v>3197</v>
      </c>
      <c r="E3081" t="s">
        <v>4</v>
      </c>
      <c r="F3081">
        <v>9.7899999999999991</v>
      </c>
      <c r="H3081" t="s">
        <v>5</v>
      </c>
      <c r="I3081" s="1">
        <v>34.409999999999997</v>
      </c>
      <c r="J3081" s="1">
        <v>33.74</v>
      </c>
      <c r="K3081" t="s">
        <v>6</v>
      </c>
    </row>
    <row r="3082" spans="1:11">
      <c r="A3082" t="s">
        <v>3147</v>
      </c>
      <c r="B3082">
        <v>399603</v>
      </c>
      <c r="C3082" s="2" t="str">
        <f>"FP2300"</f>
        <v>FP2300</v>
      </c>
      <c r="D3082" t="s">
        <v>3198</v>
      </c>
      <c r="E3082" t="s">
        <v>4</v>
      </c>
      <c r="F3082">
        <v>7.78</v>
      </c>
      <c r="H3082" t="s">
        <v>5</v>
      </c>
      <c r="I3082" s="1">
        <v>65.27</v>
      </c>
      <c r="J3082" s="1">
        <v>63.99</v>
      </c>
      <c r="K3082" t="s">
        <v>6</v>
      </c>
    </row>
    <row r="3083" spans="1:11">
      <c r="A3083" t="s">
        <v>3147</v>
      </c>
      <c r="B3083">
        <v>399609</v>
      </c>
      <c r="C3083" s="2" t="str">
        <f>"FP2452"</f>
        <v>FP2452</v>
      </c>
      <c r="D3083" t="s">
        <v>3199</v>
      </c>
      <c r="E3083" t="s">
        <v>4</v>
      </c>
      <c r="F3083">
        <v>14.9</v>
      </c>
      <c r="H3083" t="s">
        <v>5</v>
      </c>
      <c r="I3083" s="1">
        <v>72.7</v>
      </c>
      <c r="J3083" s="1">
        <v>71.28</v>
      </c>
      <c r="K3083" t="s">
        <v>6</v>
      </c>
    </row>
    <row r="3084" spans="1:11">
      <c r="A3084" t="s">
        <v>3147</v>
      </c>
      <c r="B3084">
        <v>399615</v>
      </c>
      <c r="C3084" s="2" t="str">
        <f>"HD4085"</f>
        <v>HD4085</v>
      </c>
      <c r="D3084" t="s">
        <v>3200</v>
      </c>
      <c r="E3084" t="s">
        <v>4</v>
      </c>
      <c r="F3084">
        <v>13.96</v>
      </c>
      <c r="H3084" t="s">
        <v>5</v>
      </c>
      <c r="I3084" s="1">
        <v>56.14</v>
      </c>
      <c r="J3084" s="1">
        <v>55.04</v>
      </c>
      <c r="K3084" t="s">
        <v>6</v>
      </c>
    </row>
    <row r="3085" spans="1:11">
      <c r="A3085" t="s">
        <v>3147</v>
      </c>
      <c r="B3085">
        <v>441486</v>
      </c>
      <c r="C3085" s="2" t="str">
        <f>"NB57002-1M"</f>
        <v>NB57002-1M</v>
      </c>
      <c r="D3085" t="s">
        <v>3201</v>
      </c>
      <c r="E3085" t="s">
        <v>4</v>
      </c>
      <c r="F3085">
        <v>5.75</v>
      </c>
      <c r="H3085" t="s">
        <v>5</v>
      </c>
      <c r="I3085" s="1">
        <v>32.49</v>
      </c>
      <c r="J3085" s="1">
        <v>31.85</v>
      </c>
      <c r="K3085" t="s">
        <v>6</v>
      </c>
    </row>
    <row r="3086" spans="1:11">
      <c r="A3086" t="s">
        <v>3147</v>
      </c>
      <c r="B3086">
        <v>441490</v>
      </c>
      <c r="C3086" s="2" t="str">
        <f>"NB57006-1M"</f>
        <v>NB57006-1M</v>
      </c>
      <c r="D3086" t="s">
        <v>3202</v>
      </c>
      <c r="E3086" t="s">
        <v>4</v>
      </c>
      <c r="F3086">
        <v>5.75</v>
      </c>
      <c r="H3086" t="s">
        <v>5</v>
      </c>
      <c r="I3086" s="1">
        <v>27.09</v>
      </c>
      <c r="J3086" s="1">
        <v>26.56</v>
      </c>
      <c r="K3086" t="s">
        <v>6</v>
      </c>
    </row>
    <row r="3087" spans="1:11">
      <c r="A3087" t="s">
        <v>3147</v>
      </c>
      <c r="B3087">
        <v>441492</v>
      </c>
      <c r="C3087" s="2" t="str">
        <f>"NB57008-1M"</f>
        <v>NB57008-1M</v>
      </c>
      <c r="D3087" t="s">
        <v>3203</v>
      </c>
      <c r="E3087" t="s">
        <v>4</v>
      </c>
      <c r="F3087">
        <v>5.75</v>
      </c>
      <c r="H3087" t="s">
        <v>5</v>
      </c>
      <c r="I3087" s="1">
        <v>32.49</v>
      </c>
      <c r="J3087" s="1">
        <v>31.85</v>
      </c>
      <c r="K3087" t="s">
        <v>6</v>
      </c>
    </row>
    <row r="3088" spans="1:11">
      <c r="A3088" t="s">
        <v>3147</v>
      </c>
      <c r="B3088">
        <v>441496</v>
      </c>
      <c r="C3088" s="2" t="str">
        <f>"NB57029-1M"</f>
        <v>NB57029-1M</v>
      </c>
      <c r="D3088" t="s">
        <v>3204</v>
      </c>
      <c r="E3088" t="s">
        <v>4</v>
      </c>
      <c r="F3088">
        <v>5.75</v>
      </c>
      <c r="H3088" t="s">
        <v>5</v>
      </c>
      <c r="I3088" s="1">
        <v>32.49</v>
      </c>
      <c r="J3088" s="1">
        <v>31.85</v>
      </c>
      <c r="K3088" t="s">
        <v>6</v>
      </c>
    </row>
    <row r="3089" spans="1:11">
      <c r="A3089" t="s">
        <v>3147</v>
      </c>
      <c r="B3089">
        <v>399495</v>
      </c>
      <c r="C3089" s="2" t="str">
        <f>"ND57212"</f>
        <v>ND57212</v>
      </c>
      <c r="D3089" t="s">
        <v>3205</v>
      </c>
      <c r="E3089" t="s">
        <v>4</v>
      </c>
      <c r="F3089">
        <v>14.2</v>
      </c>
      <c r="H3089" t="s">
        <v>5</v>
      </c>
      <c r="I3089" s="1">
        <v>77.819999999999993</v>
      </c>
      <c r="J3089" s="1">
        <v>76.3</v>
      </c>
      <c r="K3089" t="s">
        <v>6</v>
      </c>
    </row>
    <row r="3090" spans="1:11">
      <c r="A3090" t="s">
        <v>3147</v>
      </c>
      <c r="B3090">
        <v>399498</v>
      </c>
      <c r="C3090" s="2" t="str">
        <f>"ND57216"</f>
        <v>ND57216</v>
      </c>
      <c r="D3090" t="s">
        <v>3206</v>
      </c>
      <c r="E3090" t="s">
        <v>4</v>
      </c>
      <c r="F3090">
        <v>14.2</v>
      </c>
      <c r="H3090" t="s">
        <v>5</v>
      </c>
      <c r="I3090" s="1">
        <v>69.069999999999993</v>
      </c>
      <c r="J3090" s="1">
        <v>67.72</v>
      </c>
      <c r="K3090" t="s">
        <v>6</v>
      </c>
    </row>
    <row r="3091" spans="1:11">
      <c r="A3091" t="s">
        <v>3147</v>
      </c>
      <c r="B3091">
        <v>399500</v>
      </c>
      <c r="C3091" s="2" t="str">
        <f>"ND57218"</f>
        <v>ND57218</v>
      </c>
      <c r="D3091" t="s">
        <v>3207</v>
      </c>
      <c r="E3091" t="s">
        <v>4</v>
      </c>
      <c r="F3091">
        <v>14.2</v>
      </c>
      <c r="H3091" t="s">
        <v>5</v>
      </c>
      <c r="I3091" s="1">
        <v>77.819999999999993</v>
      </c>
      <c r="J3091" s="1">
        <v>76.3</v>
      </c>
      <c r="K3091" t="s">
        <v>6</v>
      </c>
    </row>
    <row r="3092" spans="1:11">
      <c r="A3092" t="s">
        <v>3147</v>
      </c>
      <c r="B3092">
        <v>399503</v>
      </c>
      <c r="C3092" s="2" t="str">
        <f>"ND57221"</f>
        <v>ND57221</v>
      </c>
      <c r="D3092" t="s">
        <v>3208</v>
      </c>
      <c r="E3092" t="s">
        <v>4</v>
      </c>
      <c r="F3092">
        <v>14.2</v>
      </c>
      <c r="H3092" t="s">
        <v>5</v>
      </c>
      <c r="I3092" s="1">
        <v>77.819999999999993</v>
      </c>
      <c r="J3092" s="1">
        <v>76.3</v>
      </c>
      <c r="K3092" t="s">
        <v>6</v>
      </c>
    </row>
    <row r="3093" spans="1:11">
      <c r="A3093" t="s">
        <v>3147</v>
      </c>
      <c r="B3093">
        <v>414852</v>
      </c>
      <c r="C3093" s="2" t="str">
        <f>"NT154500"</f>
        <v>NT154500</v>
      </c>
      <c r="D3093" t="s">
        <v>3209</v>
      </c>
      <c r="E3093" t="s">
        <v>4</v>
      </c>
      <c r="F3093">
        <v>17</v>
      </c>
      <c r="H3093" t="s">
        <v>5</v>
      </c>
      <c r="I3093" s="1">
        <v>85.69</v>
      </c>
      <c r="J3093" s="1">
        <v>84.01</v>
      </c>
      <c r="K3093" t="s">
        <v>6</v>
      </c>
    </row>
    <row r="3094" spans="1:11">
      <c r="A3094" t="s">
        <v>3147</v>
      </c>
      <c r="B3094">
        <v>414853</v>
      </c>
      <c r="C3094" s="2" t="str">
        <f>"NT154508"</f>
        <v>NT154508</v>
      </c>
      <c r="D3094" t="s">
        <v>3210</v>
      </c>
      <c r="E3094" t="s">
        <v>4</v>
      </c>
      <c r="F3094">
        <v>17</v>
      </c>
      <c r="H3094" t="s">
        <v>5</v>
      </c>
      <c r="I3094" s="1">
        <v>85.69</v>
      </c>
      <c r="J3094" s="1">
        <v>84.01</v>
      </c>
      <c r="K3094" t="s">
        <v>6</v>
      </c>
    </row>
    <row r="3095" spans="1:11">
      <c r="A3095" t="s">
        <v>3147</v>
      </c>
      <c r="B3095">
        <v>414854</v>
      </c>
      <c r="C3095" s="2" t="str">
        <f>"NT154521"</f>
        <v>NT154521</v>
      </c>
      <c r="D3095" t="s">
        <v>3211</v>
      </c>
      <c r="E3095" t="s">
        <v>4</v>
      </c>
      <c r="F3095">
        <v>17</v>
      </c>
      <c r="H3095" t="s">
        <v>5</v>
      </c>
      <c r="I3095" s="1">
        <v>85.69</v>
      </c>
      <c r="J3095" s="1">
        <v>84.01</v>
      </c>
      <c r="K3095" t="s">
        <v>6</v>
      </c>
    </row>
    <row r="3096" spans="1:11">
      <c r="A3096" t="s">
        <v>3147</v>
      </c>
      <c r="B3096">
        <v>414855</v>
      </c>
      <c r="C3096" s="2" t="str">
        <f>"NT154527"</f>
        <v>NT154527</v>
      </c>
      <c r="D3096" t="s">
        <v>3212</v>
      </c>
      <c r="E3096" t="s">
        <v>4</v>
      </c>
      <c r="F3096">
        <v>17</v>
      </c>
      <c r="H3096" t="s">
        <v>5</v>
      </c>
      <c r="I3096" s="1">
        <v>85.69</v>
      </c>
      <c r="J3096" s="1">
        <v>84.01</v>
      </c>
      <c r="K3096" t="s">
        <v>6</v>
      </c>
    </row>
    <row r="3097" spans="1:11">
      <c r="A3097" t="s">
        <v>3147</v>
      </c>
      <c r="B3097">
        <v>475838</v>
      </c>
      <c r="C3097" s="2" t="str">
        <f>"NT154570"</f>
        <v>NT154570</v>
      </c>
      <c r="D3097" t="s">
        <v>3213</v>
      </c>
      <c r="E3097" t="s">
        <v>4</v>
      </c>
      <c r="F3097">
        <v>17</v>
      </c>
      <c r="H3097" t="s">
        <v>5</v>
      </c>
      <c r="I3097" s="1">
        <v>102.12</v>
      </c>
      <c r="J3097" s="1">
        <v>102.12</v>
      </c>
      <c r="K3097" t="s">
        <v>6</v>
      </c>
    </row>
    <row r="3098" spans="1:11">
      <c r="A3098" t="s">
        <v>3147</v>
      </c>
      <c r="B3098">
        <v>399619</v>
      </c>
      <c r="C3098" s="2" t="str">
        <f>"PL7095"</f>
        <v>PL7095</v>
      </c>
      <c r="D3098" t="s">
        <v>3214</v>
      </c>
      <c r="E3098" t="s">
        <v>4</v>
      </c>
      <c r="F3098">
        <v>15.09</v>
      </c>
      <c r="H3098" t="s">
        <v>5</v>
      </c>
      <c r="I3098" s="1">
        <v>37.57</v>
      </c>
      <c r="J3098" s="1">
        <v>37.57</v>
      </c>
      <c r="K3098" t="s">
        <v>6</v>
      </c>
    </row>
    <row r="3099" spans="1:11">
      <c r="A3099" t="s">
        <v>3147</v>
      </c>
      <c r="B3099">
        <v>399507</v>
      </c>
      <c r="C3099" s="2" t="str">
        <f>"PM30659"</f>
        <v>PM30659</v>
      </c>
      <c r="D3099" t="s">
        <v>3215</v>
      </c>
      <c r="E3099" t="s">
        <v>4</v>
      </c>
      <c r="F3099">
        <v>10</v>
      </c>
      <c r="H3099" t="s">
        <v>5</v>
      </c>
      <c r="I3099" s="1">
        <v>21.22</v>
      </c>
      <c r="J3099" s="1">
        <v>20.8</v>
      </c>
      <c r="K3099" t="s">
        <v>6</v>
      </c>
    </row>
    <row r="3100" spans="1:11">
      <c r="A3100" t="s">
        <v>3147</v>
      </c>
      <c r="B3100">
        <v>399504</v>
      </c>
      <c r="C3100" s="2" t="str">
        <f>"PM32051"</f>
        <v>PM32051</v>
      </c>
      <c r="D3100" t="s">
        <v>3216</v>
      </c>
      <c r="E3100" t="s">
        <v>4</v>
      </c>
      <c r="F3100">
        <v>10.199999999999999</v>
      </c>
      <c r="H3100" t="s">
        <v>5</v>
      </c>
      <c r="I3100" s="1">
        <v>16.52</v>
      </c>
      <c r="J3100" s="1">
        <v>16.2</v>
      </c>
      <c r="K3100" t="s">
        <v>6</v>
      </c>
    </row>
    <row r="3101" spans="1:11">
      <c r="A3101" t="s">
        <v>3147</v>
      </c>
      <c r="B3101">
        <v>399506</v>
      </c>
      <c r="C3101" s="2" t="str">
        <f>"PM32052"</f>
        <v>PM32052</v>
      </c>
      <c r="D3101" t="s">
        <v>3217</v>
      </c>
      <c r="E3101" t="s">
        <v>4</v>
      </c>
      <c r="F3101">
        <v>10.1</v>
      </c>
      <c r="H3101" t="s">
        <v>5</v>
      </c>
      <c r="I3101" s="1">
        <v>21.22</v>
      </c>
      <c r="J3101" s="1">
        <v>20.8</v>
      </c>
      <c r="K3101" t="s">
        <v>6</v>
      </c>
    </row>
    <row r="3102" spans="1:11">
      <c r="A3102" t="s">
        <v>3147</v>
      </c>
      <c r="B3102">
        <v>399544</v>
      </c>
      <c r="C3102" s="2" t="str">
        <f>"PP37608"</f>
        <v>PP37608</v>
      </c>
      <c r="D3102" t="s">
        <v>3218</v>
      </c>
      <c r="E3102" t="s">
        <v>4</v>
      </c>
      <c r="F3102">
        <v>11.35</v>
      </c>
      <c r="H3102" t="s">
        <v>5</v>
      </c>
      <c r="I3102" s="1">
        <v>41.65</v>
      </c>
      <c r="J3102" s="1">
        <v>40.83</v>
      </c>
      <c r="K3102" t="s">
        <v>6</v>
      </c>
    </row>
    <row r="3103" spans="1:11">
      <c r="A3103" t="s">
        <v>3147</v>
      </c>
      <c r="B3103">
        <v>399552</v>
      </c>
      <c r="C3103" s="2" t="str">
        <f>"PP37627"</f>
        <v>PP37627</v>
      </c>
      <c r="D3103" t="s">
        <v>3219</v>
      </c>
      <c r="E3103" t="s">
        <v>4</v>
      </c>
      <c r="F3103">
        <v>11.35</v>
      </c>
      <c r="H3103" t="s">
        <v>5</v>
      </c>
      <c r="I3103" s="1">
        <v>41.65</v>
      </c>
      <c r="J3103" s="1">
        <v>40.83</v>
      </c>
      <c r="K3103" t="s">
        <v>6</v>
      </c>
    </row>
    <row r="3104" spans="1:11">
      <c r="A3104" t="s">
        <v>3147</v>
      </c>
      <c r="B3104">
        <v>399518</v>
      </c>
      <c r="C3104" s="2" t="str">
        <f>"PP37633"</f>
        <v>PP37633</v>
      </c>
      <c r="D3104" t="s">
        <v>3220</v>
      </c>
      <c r="E3104" t="s">
        <v>4</v>
      </c>
      <c r="F3104">
        <v>10</v>
      </c>
      <c r="H3104" t="s">
        <v>5</v>
      </c>
      <c r="I3104" s="1">
        <v>27.34</v>
      </c>
      <c r="J3104" s="1">
        <v>26.81</v>
      </c>
      <c r="K3104" t="s">
        <v>6</v>
      </c>
    </row>
    <row r="3105" spans="1:11">
      <c r="A3105" t="s">
        <v>3147</v>
      </c>
      <c r="B3105">
        <v>399510</v>
      </c>
      <c r="C3105" s="2" t="str">
        <f>"PP37640"</f>
        <v>PP37640</v>
      </c>
      <c r="D3105" t="s">
        <v>3221</v>
      </c>
      <c r="E3105" t="s">
        <v>4</v>
      </c>
      <c r="F3105">
        <v>10.1</v>
      </c>
      <c r="H3105" t="s">
        <v>5</v>
      </c>
      <c r="I3105" s="1">
        <v>20.37</v>
      </c>
      <c r="J3105" s="1">
        <v>19.97</v>
      </c>
      <c r="K3105" t="s">
        <v>6</v>
      </c>
    </row>
    <row r="3106" spans="1:11">
      <c r="A3106" t="s">
        <v>3147</v>
      </c>
      <c r="B3106">
        <v>399526</v>
      </c>
      <c r="C3106" s="2" t="str">
        <f>"PP37648"</f>
        <v>PP37648</v>
      </c>
      <c r="D3106" t="s">
        <v>3222</v>
      </c>
      <c r="E3106" t="s">
        <v>4</v>
      </c>
      <c r="F3106">
        <v>10</v>
      </c>
      <c r="H3106" t="s">
        <v>5</v>
      </c>
      <c r="I3106" s="1">
        <v>27.34</v>
      </c>
      <c r="J3106" s="1">
        <v>26.81</v>
      </c>
      <c r="K3106" t="s">
        <v>6</v>
      </c>
    </row>
    <row r="3107" spans="1:11">
      <c r="A3107" t="s">
        <v>3147</v>
      </c>
      <c r="B3107">
        <v>399538</v>
      </c>
      <c r="C3107" s="2" t="str">
        <f>"PP37693"</f>
        <v>PP37693</v>
      </c>
      <c r="D3107" t="s">
        <v>3223</v>
      </c>
      <c r="E3107" t="s">
        <v>4</v>
      </c>
      <c r="F3107">
        <v>10</v>
      </c>
      <c r="H3107" t="s">
        <v>5</v>
      </c>
      <c r="I3107" s="1">
        <v>28.93</v>
      </c>
      <c r="J3107" s="1">
        <v>28.93</v>
      </c>
      <c r="K3107" t="s">
        <v>6</v>
      </c>
    </row>
    <row r="3108" spans="1:11">
      <c r="A3108" t="s">
        <v>3147</v>
      </c>
      <c r="B3108">
        <v>399542</v>
      </c>
      <c r="C3108" s="2" t="str">
        <f>"PP37697"</f>
        <v>PP37697</v>
      </c>
      <c r="D3108" t="s">
        <v>3224</v>
      </c>
      <c r="E3108" t="s">
        <v>4</v>
      </c>
      <c r="F3108">
        <v>10</v>
      </c>
      <c r="H3108" t="s">
        <v>5</v>
      </c>
      <c r="I3108" s="1">
        <v>27.34</v>
      </c>
      <c r="J3108" s="1">
        <v>26.81</v>
      </c>
      <c r="K3108" t="s">
        <v>6</v>
      </c>
    </row>
    <row r="3109" spans="1:11">
      <c r="A3109" t="s">
        <v>3147</v>
      </c>
      <c r="B3109">
        <v>402065</v>
      </c>
      <c r="C3109" s="2" t="str">
        <f>"PP41000"</f>
        <v>PP41000</v>
      </c>
      <c r="D3109" t="s">
        <v>3225</v>
      </c>
      <c r="E3109" t="s">
        <v>4</v>
      </c>
      <c r="F3109">
        <v>10.9</v>
      </c>
      <c r="H3109" t="s">
        <v>5</v>
      </c>
      <c r="I3109" s="1">
        <v>16.559999999999999</v>
      </c>
      <c r="J3109" s="1">
        <v>16.239999999999998</v>
      </c>
      <c r="K3109" t="s">
        <v>6</v>
      </c>
    </row>
    <row r="3110" spans="1:11">
      <c r="A3110" t="s">
        <v>3147</v>
      </c>
      <c r="B3110">
        <v>399639</v>
      </c>
      <c r="C3110" s="2" t="str">
        <f>"PP41008"</f>
        <v>PP41008</v>
      </c>
      <c r="D3110" t="s">
        <v>3226</v>
      </c>
      <c r="E3110" t="s">
        <v>4</v>
      </c>
      <c r="F3110">
        <v>10.5</v>
      </c>
      <c r="H3110" t="s">
        <v>5</v>
      </c>
      <c r="I3110" s="1">
        <v>31.45</v>
      </c>
      <c r="J3110" s="1">
        <v>30.84</v>
      </c>
      <c r="K3110" t="s">
        <v>6</v>
      </c>
    </row>
    <row r="3111" spans="1:11">
      <c r="A3111" t="s">
        <v>3147</v>
      </c>
      <c r="B3111">
        <v>399642</v>
      </c>
      <c r="C3111" s="2" t="str">
        <f>"PP41021"</f>
        <v>PP41021</v>
      </c>
      <c r="D3111" t="s">
        <v>3227</v>
      </c>
      <c r="E3111" t="s">
        <v>4</v>
      </c>
      <c r="F3111">
        <v>10.5</v>
      </c>
      <c r="H3111" t="s">
        <v>5</v>
      </c>
      <c r="I3111" s="1">
        <v>31.45</v>
      </c>
      <c r="J3111" s="1">
        <v>30.84</v>
      </c>
      <c r="K3111" t="s">
        <v>6</v>
      </c>
    </row>
    <row r="3112" spans="1:11">
      <c r="A3112" t="s">
        <v>3147</v>
      </c>
      <c r="B3112">
        <v>402064</v>
      </c>
      <c r="C3112" s="2" t="str">
        <f>"PP41024"</f>
        <v>PP41024</v>
      </c>
      <c r="D3112" t="s">
        <v>3228</v>
      </c>
      <c r="E3112" t="s">
        <v>4</v>
      </c>
      <c r="F3112">
        <v>10.5</v>
      </c>
      <c r="H3112" t="s">
        <v>5</v>
      </c>
      <c r="I3112" s="1">
        <v>31.45</v>
      </c>
      <c r="J3112" s="1">
        <v>30.84</v>
      </c>
      <c r="K3112" t="s">
        <v>6</v>
      </c>
    </row>
    <row r="3113" spans="1:11">
      <c r="A3113" t="s">
        <v>3147</v>
      </c>
      <c r="B3113">
        <v>399641</v>
      </c>
      <c r="C3113" s="2" t="str">
        <f>"PP41027"</f>
        <v>PP41027</v>
      </c>
      <c r="D3113" t="s">
        <v>3229</v>
      </c>
      <c r="E3113" t="s">
        <v>4</v>
      </c>
      <c r="F3113">
        <v>10.5</v>
      </c>
      <c r="H3113" t="s">
        <v>5</v>
      </c>
      <c r="I3113" s="1">
        <v>31.45</v>
      </c>
      <c r="J3113" s="1">
        <v>30.84</v>
      </c>
      <c r="K3113" t="s">
        <v>6</v>
      </c>
    </row>
    <row r="3114" spans="1:11">
      <c r="A3114" t="s">
        <v>3147</v>
      </c>
      <c r="B3114">
        <v>399644</v>
      </c>
      <c r="C3114" s="2" t="str">
        <f>"PP41028"</f>
        <v>PP41028</v>
      </c>
      <c r="D3114" t="s">
        <v>3230</v>
      </c>
      <c r="E3114" t="s">
        <v>4</v>
      </c>
      <c r="F3114">
        <v>10.5</v>
      </c>
      <c r="H3114" t="s">
        <v>5</v>
      </c>
      <c r="I3114" s="1">
        <v>31.45</v>
      </c>
      <c r="J3114" s="1">
        <v>30.84</v>
      </c>
      <c r="K3114" t="s">
        <v>6</v>
      </c>
    </row>
    <row r="3115" spans="1:11">
      <c r="A3115" t="s">
        <v>3147</v>
      </c>
      <c r="B3115">
        <v>399643</v>
      </c>
      <c r="C3115" s="2" t="str">
        <f>"PP41052"</f>
        <v>PP41052</v>
      </c>
      <c r="D3115" t="s">
        <v>3231</v>
      </c>
      <c r="E3115" t="s">
        <v>4</v>
      </c>
      <c r="F3115">
        <v>10.5</v>
      </c>
      <c r="H3115" t="s">
        <v>5</v>
      </c>
      <c r="I3115" s="1">
        <v>33.72</v>
      </c>
      <c r="J3115" s="1">
        <v>33.72</v>
      </c>
      <c r="K3115" t="s">
        <v>6</v>
      </c>
    </row>
    <row r="3116" spans="1:11">
      <c r="A3116" t="s">
        <v>3147</v>
      </c>
      <c r="B3116">
        <v>444165</v>
      </c>
      <c r="C3116" s="2" t="str">
        <f>"SL131716"</f>
        <v>SL131716</v>
      </c>
      <c r="D3116" t="s">
        <v>3232</v>
      </c>
      <c r="E3116" t="s">
        <v>4</v>
      </c>
      <c r="F3116">
        <v>10.7</v>
      </c>
      <c r="H3116" t="s">
        <v>5</v>
      </c>
      <c r="I3116" s="1">
        <v>52.16</v>
      </c>
      <c r="J3116" s="1">
        <v>51.14</v>
      </c>
      <c r="K3116" t="s">
        <v>6</v>
      </c>
    </row>
    <row r="3117" spans="1:11">
      <c r="A3117" t="s">
        <v>3147</v>
      </c>
      <c r="B3117">
        <v>444168</v>
      </c>
      <c r="C3117" s="2" t="str">
        <f>"SL161610"</f>
        <v>SL161610</v>
      </c>
      <c r="D3117" t="s">
        <v>3233</v>
      </c>
      <c r="E3117" t="s">
        <v>4</v>
      </c>
      <c r="F3117">
        <v>19.75</v>
      </c>
      <c r="H3117" t="s">
        <v>5</v>
      </c>
      <c r="I3117" s="1">
        <v>74.64</v>
      </c>
      <c r="J3117" s="1">
        <v>73.180000000000007</v>
      </c>
      <c r="K3117" t="s">
        <v>6</v>
      </c>
    </row>
    <row r="3118" spans="1:11">
      <c r="A3118" t="s">
        <v>3147</v>
      </c>
      <c r="B3118">
        <v>399576</v>
      </c>
      <c r="C3118" s="2" t="str">
        <f>"TB4301"</f>
        <v>TB4301</v>
      </c>
      <c r="D3118" t="s">
        <v>3234</v>
      </c>
      <c r="E3118" t="s">
        <v>4</v>
      </c>
      <c r="F3118">
        <v>6.02</v>
      </c>
      <c r="H3118" t="s">
        <v>5</v>
      </c>
      <c r="I3118" s="1">
        <v>18.14</v>
      </c>
      <c r="J3118" s="1">
        <v>17.78</v>
      </c>
      <c r="K3118" t="s">
        <v>6</v>
      </c>
    </row>
    <row r="3119" spans="1:11">
      <c r="A3119" t="s">
        <v>3147</v>
      </c>
      <c r="B3119">
        <v>399577</v>
      </c>
      <c r="C3119" s="2" t="str">
        <f>"TB4302"</f>
        <v>TB4302</v>
      </c>
      <c r="D3119" t="s">
        <v>3235</v>
      </c>
      <c r="E3119" t="s">
        <v>4</v>
      </c>
      <c r="F3119">
        <v>8.6999999999999993</v>
      </c>
      <c r="H3119" t="s">
        <v>5</v>
      </c>
      <c r="I3119" s="1">
        <v>38.69</v>
      </c>
      <c r="J3119" s="1">
        <v>37.93</v>
      </c>
      <c r="K3119" t="s">
        <v>6</v>
      </c>
    </row>
    <row r="3120" spans="1:11">
      <c r="A3120" t="s">
        <v>3147</v>
      </c>
      <c r="B3120">
        <v>399579</v>
      </c>
      <c r="C3120" s="2" t="str">
        <f>"TB4303"</f>
        <v>TB4303</v>
      </c>
      <c r="D3120" t="s">
        <v>3236</v>
      </c>
      <c r="E3120" t="s">
        <v>4</v>
      </c>
      <c r="F3120">
        <v>8.6999999999999993</v>
      </c>
      <c r="H3120" t="s">
        <v>5</v>
      </c>
      <c r="I3120" s="1">
        <v>39.130000000000003</v>
      </c>
      <c r="J3120" s="1">
        <v>38.36</v>
      </c>
      <c r="K3120" t="s">
        <v>6</v>
      </c>
    </row>
    <row r="3121" spans="1:12">
      <c r="A3121" t="s">
        <v>3147</v>
      </c>
      <c r="B3121">
        <v>435655</v>
      </c>
      <c r="C3121" s="2" t="str">
        <f>"TB5302"</f>
        <v>TB5302</v>
      </c>
      <c r="D3121" t="s">
        <v>3237</v>
      </c>
      <c r="E3121" t="s">
        <v>4</v>
      </c>
      <c r="F3121">
        <v>10.5</v>
      </c>
      <c r="H3121" t="s">
        <v>5</v>
      </c>
      <c r="I3121" s="1">
        <v>48.37</v>
      </c>
      <c r="J3121" s="1">
        <v>47.42</v>
      </c>
      <c r="K3121" t="s">
        <v>6</v>
      </c>
    </row>
    <row r="3122" spans="1:12">
      <c r="A3122" t="s">
        <v>3147</v>
      </c>
      <c r="B3122">
        <v>399456</v>
      </c>
      <c r="C3122" s="2" t="str">
        <f>"TC8704462"</f>
        <v>TC8704462</v>
      </c>
      <c r="D3122" t="s">
        <v>3238</v>
      </c>
      <c r="E3122" t="s">
        <v>4</v>
      </c>
      <c r="F3122">
        <v>39.5</v>
      </c>
      <c r="H3122" t="s">
        <v>5</v>
      </c>
      <c r="I3122" s="1">
        <v>97.24</v>
      </c>
      <c r="J3122" s="1">
        <v>97.24</v>
      </c>
      <c r="K3122" t="s">
        <v>6</v>
      </c>
    </row>
    <row r="3123" spans="1:12">
      <c r="A3123" t="s">
        <v>3239</v>
      </c>
      <c r="B3123">
        <v>487518</v>
      </c>
      <c r="C3123" s="2" t="str">
        <f>"FSW1202K"</f>
        <v>FSW1202K</v>
      </c>
      <c r="D3123" t="s">
        <v>3240</v>
      </c>
      <c r="E3123" t="s">
        <v>4</v>
      </c>
      <c r="F3123">
        <v>5</v>
      </c>
      <c r="H3123" t="s">
        <v>5</v>
      </c>
      <c r="I3123" s="1">
        <v>12.1</v>
      </c>
      <c r="J3123" s="1">
        <v>11.97</v>
      </c>
      <c r="K3123" t="s">
        <v>6</v>
      </c>
    </row>
    <row r="3124" spans="1:12">
      <c r="A3124" t="s">
        <v>3239</v>
      </c>
      <c r="B3124">
        <v>487519</v>
      </c>
      <c r="C3124" s="2" t="str">
        <f>"FSW1802K"</f>
        <v>FSW1802K</v>
      </c>
      <c r="D3124" t="s">
        <v>3241</v>
      </c>
      <c r="E3124" t="s">
        <v>4</v>
      </c>
      <c r="F3124">
        <v>8.5</v>
      </c>
      <c r="H3124" t="s">
        <v>5</v>
      </c>
      <c r="I3124" s="1">
        <v>19.059999999999999</v>
      </c>
      <c r="J3124" s="1">
        <v>18.86</v>
      </c>
      <c r="K3124" t="s">
        <v>6</v>
      </c>
    </row>
    <row r="3125" spans="1:12">
      <c r="A3125" t="s">
        <v>3239</v>
      </c>
      <c r="B3125">
        <v>487521</v>
      </c>
      <c r="C3125" s="2" t="str">
        <f>"FSW2402K"</f>
        <v>FSW2402K</v>
      </c>
      <c r="D3125" t="s">
        <v>3242</v>
      </c>
      <c r="E3125" t="s">
        <v>4</v>
      </c>
      <c r="F3125">
        <v>10.5</v>
      </c>
      <c r="H3125" t="s">
        <v>5</v>
      </c>
      <c r="I3125" s="1">
        <v>24.41</v>
      </c>
      <c r="J3125" s="1">
        <v>24.17</v>
      </c>
      <c r="K3125" t="s">
        <v>6</v>
      </c>
    </row>
    <row r="3126" spans="1:12">
      <c r="A3126" t="s">
        <v>3243</v>
      </c>
      <c r="B3126">
        <v>483081</v>
      </c>
      <c r="C3126" s="2" t="str">
        <f>"200315NS"</f>
        <v>200315NS</v>
      </c>
      <c r="D3126" t="s">
        <v>3244</v>
      </c>
      <c r="E3126" t="s">
        <v>4</v>
      </c>
      <c r="F3126">
        <v>36</v>
      </c>
      <c r="G3126">
        <v>6</v>
      </c>
      <c r="H3126" t="s">
        <v>20</v>
      </c>
      <c r="I3126" s="1">
        <v>17.149999999999999</v>
      </c>
      <c r="J3126" s="1">
        <v>16.29</v>
      </c>
      <c r="K3126" t="s">
        <v>21</v>
      </c>
      <c r="L3126" s="1">
        <v>17.920000000000002</v>
      </c>
    </row>
    <row r="3127" spans="1:12">
      <c r="A3127" t="s">
        <v>3243</v>
      </c>
      <c r="B3127">
        <v>483079</v>
      </c>
      <c r="C3127" s="2" t="str">
        <f>"200316"</f>
        <v>200316</v>
      </c>
      <c r="D3127" t="s">
        <v>3245</v>
      </c>
      <c r="E3127" t="s">
        <v>4</v>
      </c>
      <c r="F3127">
        <v>30</v>
      </c>
      <c r="G3127">
        <v>5</v>
      </c>
      <c r="H3127" t="s">
        <v>20</v>
      </c>
      <c r="I3127" s="1">
        <v>10.3</v>
      </c>
      <c r="J3127" s="1">
        <v>9.7799999999999994</v>
      </c>
      <c r="K3127" t="s">
        <v>21</v>
      </c>
      <c r="L3127" s="1">
        <v>10.75</v>
      </c>
    </row>
    <row r="3128" spans="1:12">
      <c r="A3128" t="s">
        <v>3243</v>
      </c>
      <c r="B3128">
        <v>483082</v>
      </c>
      <c r="C3128" s="2" t="str">
        <f>"200345NS"</f>
        <v>200345NS</v>
      </c>
      <c r="D3128" t="s">
        <v>3246</v>
      </c>
      <c r="E3128" t="s">
        <v>4</v>
      </c>
      <c r="F3128">
        <v>42</v>
      </c>
      <c r="G3128">
        <v>7</v>
      </c>
      <c r="H3128" t="s">
        <v>20</v>
      </c>
      <c r="I3128" s="1">
        <v>24.01</v>
      </c>
      <c r="J3128" s="1">
        <v>22.82</v>
      </c>
      <c r="K3128" t="s">
        <v>21</v>
      </c>
      <c r="L3128" s="1">
        <v>25.1</v>
      </c>
    </row>
    <row r="3129" spans="1:12">
      <c r="A3129" t="s">
        <v>3243</v>
      </c>
      <c r="B3129">
        <v>483080</v>
      </c>
      <c r="C3129" s="2" t="str">
        <f>"200348"</f>
        <v>200348</v>
      </c>
      <c r="D3129" t="s">
        <v>3247</v>
      </c>
      <c r="E3129" t="s">
        <v>4</v>
      </c>
      <c r="F3129">
        <v>42</v>
      </c>
      <c r="G3129">
        <v>7</v>
      </c>
      <c r="H3129" t="s">
        <v>20</v>
      </c>
      <c r="I3129" s="1">
        <v>20.58</v>
      </c>
      <c r="J3129" s="1">
        <v>19.55</v>
      </c>
      <c r="K3129" t="s">
        <v>21</v>
      </c>
      <c r="L3129" s="1">
        <v>21.51</v>
      </c>
    </row>
    <row r="3130" spans="1:12">
      <c r="A3130" t="s">
        <v>3243</v>
      </c>
      <c r="B3130">
        <v>483085</v>
      </c>
      <c r="C3130" s="2" t="str">
        <f>"200414A"</f>
        <v>200414A</v>
      </c>
      <c r="D3130" t="s">
        <v>3248</v>
      </c>
      <c r="E3130" t="s">
        <v>4</v>
      </c>
      <c r="F3130">
        <v>54</v>
      </c>
      <c r="G3130">
        <v>9</v>
      </c>
      <c r="H3130" t="s">
        <v>20</v>
      </c>
      <c r="I3130" s="1">
        <v>20.58</v>
      </c>
      <c r="J3130" s="1">
        <v>19.55</v>
      </c>
      <c r="K3130" t="s">
        <v>21</v>
      </c>
      <c r="L3130" s="1">
        <v>21.51</v>
      </c>
    </row>
    <row r="3131" spans="1:12">
      <c r="A3131" t="s">
        <v>3243</v>
      </c>
      <c r="B3131">
        <v>483083</v>
      </c>
      <c r="C3131" s="2" t="str">
        <f>"200441"</f>
        <v>200441</v>
      </c>
      <c r="D3131" t="s">
        <v>3249</v>
      </c>
      <c r="E3131" t="s">
        <v>4</v>
      </c>
      <c r="F3131">
        <v>60</v>
      </c>
      <c r="G3131">
        <v>15</v>
      </c>
      <c r="H3131" t="s">
        <v>153</v>
      </c>
      <c r="I3131" s="1">
        <v>68.61</v>
      </c>
      <c r="J3131" s="1">
        <v>65.180000000000007</v>
      </c>
      <c r="K3131" t="s">
        <v>21</v>
      </c>
      <c r="L3131" s="1">
        <v>71.7</v>
      </c>
    </row>
    <row r="3132" spans="1:12">
      <c r="A3132" t="s">
        <v>3243</v>
      </c>
      <c r="B3132">
        <v>483086</v>
      </c>
      <c r="C3132" s="2" t="str">
        <f>"200817"</f>
        <v>200817</v>
      </c>
      <c r="D3132" t="s">
        <v>3250</v>
      </c>
      <c r="E3132" t="s">
        <v>4</v>
      </c>
      <c r="F3132">
        <v>24</v>
      </c>
      <c r="G3132">
        <v>2</v>
      </c>
      <c r="H3132" t="s">
        <v>106</v>
      </c>
      <c r="I3132" s="1">
        <v>6.86</v>
      </c>
      <c r="J3132" s="1">
        <v>6.51</v>
      </c>
      <c r="K3132" t="s">
        <v>21</v>
      </c>
      <c r="L3132" s="1">
        <v>7.16</v>
      </c>
    </row>
    <row r="3133" spans="1:12">
      <c r="A3133" t="s">
        <v>3243</v>
      </c>
      <c r="B3133">
        <v>564172</v>
      </c>
      <c r="C3133" s="2" t="str">
        <f>"201207"</f>
        <v>201207</v>
      </c>
      <c r="D3133" t="s">
        <v>3251</v>
      </c>
      <c r="E3133" t="s">
        <v>4</v>
      </c>
      <c r="F3133">
        <v>6</v>
      </c>
      <c r="G3133">
        <v>1</v>
      </c>
      <c r="H3133" t="s">
        <v>20</v>
      </c>
      <c r="I3133" s="1">
        <v>12.99</v>
      </c>
      <c r="J3133" s="1">
        <v>12.99</v>
      </c>
      <c r="K3133" t="s">
        <v>457</v>
      </c>
      <c r="L3133" s="1">
        <v>14.29</v>
      </c>
    </row>
    <row r="3134" spans="1:12">
      <c r="A3134" t="s">
        <v>3092</v>
      </c>
      <c r="B3134">
        <v>552446</v>
      </c>
      <c r="C3134" s="2" t="str">
        <f>"8070"</f>
        <v>8070</v>
      </c>
      <c r="D3134" t="s">
        <v>3093</v>
      </c>
      <c r="E3134" t="s">
        <v>4</v>
      </c>
      <c r="F3134">
        <v>8.32</v>
      </c>
      <c r="H3134" t="s">
        <v>5</v>
      </c>
      <c r="I3134" s="1">
        <v>32.78</v>
      </c>
      <c r="J3134" s="1">
        <v>32.619999999999997</v>
      </c>
      <c r="K3134" t="s">
        <v>6</v>
      </c>
    </row>
    <row r="3135" spans="1:12">
      <c r="A3135" t="s">
        <v>3092</v>
      </c>
      <c r="B3135">
        <v>552447</v>
      </c>
      <c r="C3135" s="2" t="str">
        <f>"8070COMBO"</f>
        <v>8070COMBO</v>
      </c>
      <c r="D3135" t="s">
        <v>3094</v>
      </c>
      <c r="E3135" t="s">
        <v>4</v>
      </c>
      <c r="F3135">
        <v>6.25</v>
      </c>
      <c r="H3135" t="s">
        <v>5</v>
      </c>
      <c r="I3135" s="1">
        <v>17.43</v>
      </c>
      <c r="J3135" s="1">
        <v>17.34</v>
      </c>
      <c r="K3135" t="s">
        <v>6</v>
      </c>
    </row>
    <row r="3136" spans="1:12">
      <c r="A3136" t="s">
        <v>3092</v>
      </c>
      <c r="B3136">
        <v>552448</v>
      </c>
      <c r="C3136" s="2" t="str">
        <f>"8090"</f>
        <v>8090</v>
      </c>
      <c r="D3136" t="s">
        <v>3095</v>
      </c>
      <c r="E3136" t="s">
        <v>4</v>
      </c>
      <c r="F3136">
        <v>15.25</v>
      </c>
      <c r="H3136" t="s">
        <v>5</v>
      </c>
      <c r="I3136" s="1">
        <v>56.44</v>
      </c>
      <c r="J3136" s="1">
        <v>56.16</v>
      </c>
      <c r="K3136" t="s">
        <v>6</v>
      </c>
    </row>
    <row r="3137" spans="1:11">
      <c r="A3137" t="s">
        <v>3092</v>
      </c>
      <c r="B3137">
        <v>552449</v>
      </c>
      <c r="C3137" s="2" t="str">
        <f>"8090COMBO"</f>
        <v>8090COMBO</v>
      </c>
      <c r="D3137" t="s">
        <v>3096</v>
      </c>
      <c r="E3137" t="s">
        <v>4</v>
      </c>
      <c r="F3137">
        <v>8.75</v>
      </c>
      <c r="H3137" t="s">
        <v>5</v>
      </c>
      <c r="I3137" s="1">
        <v>30.06</v>
      </c>
      <c r="J3137" s="1">
        <v>29.91</v>
      </c>
      <c r="K3137" t="s">
        <v>6</v>
      </c>
    </row>
    <row r="3138" spans="1:11">
      <c r="A3138" t="s">
        <v>3092</v>
      </c>
      <c r="B3138">
        <v>552438</v>
      </c>
      <c r="C3138" s="2" t="str">
        <f>"8410"</f>
        <v>8410</v>
      </c>
      <c r="D3138" t="s">
        <v>3097</v>
      </c>
      <c r="E3138" t="s">
        <v>4</v>
      </c>
      <c r="F3138">
        <v>4.5</v>
      </c>
      <c r="H3138" t="s">
        <v>5</v>
      </c>
      <c r="I3138" s="1">
        <v>19.22</v>
      </c>
      <c r="J3138" s="1">
        <v>19.12</v>
      </c>
      <c r="K3138" t="s">
        <v>6</v>
      </c>
    </row>
    <row r="3139" spans="1:11">
      <c r="A3139" t="s">
        <v>3092</v>
      </c>
      <c r="B3139">
        <v>552442</v>
      </c>
      <c r="C3139" s="2" t="str">
        <f>"8420"</f>
        <v>8420</v>
      </c>
      <c r="D3139" t="s">
        <v>3098</v>
      </c>
      <c r="E3139" t="s">
        <v>4</v>
      </c>
      <c r="F3139">
        <v>4.95</v>
      </c>
      <c r="H3139" t="s">
        <v>5</v>
      </c>
      <c r="I3139" s="1">
        <v>21.15</v>
      </c>
      <c r="J3139" s="1">
        <v>21.05</v>
      </c>
      <c r="K3139" t="s">
        <v>6</v>
      </c>
    </row>
    <row r="3140" spans="1:11">
      <c r="A3140" t="s">
        <v>3092</v>
      </c>
      <c r="B3140">
        <v>552439</v>
      </c>
      <c r="C3140" s="2" t="str">
        <f>"8430"</f>
        <v>8430</v>
      </c>
      <c r="D3140" t="s">
        <v>3099</v>
      </c>
      <c r="E3140" t="s">
        <v>4</v>
      </c>
      <c r="F3140">
        <v>7.75</v>
      </c>
      <c r="H3140" t="s">
        <v>5</v>
      </c>
      <c r="I3140" s="1">
        <v>25.89</v>
      </c>
      <c r="J3140" s="1">
        <v>25.77</v>
      </c>
      <c r="K3140" t="s">
        <v>6</v>
      </c>
    </row>
    <row r="3141" spans="1:11">
      <c r="A3141" t="s">
        <v>3092</v>
      </c>
      <c r="B3141">
        <v>552443</v>
      </c>
      <c r="C3141" s="2" t="str">
        <f>"8440"</f>
        <v>8440</v>
      </c>
      <c r="D3141" t="s">
        <v>3100</v>
      </c>
      <c r="E3141" t="s">
        <v>4</v>
      </c>
      <c r="F3141">
        <v>7.95</v>
      </c>
      <c r="H3141" t="s">
        <v>5</v>
      </c>
      <c r="I3141" s="1">
        <v>27.5</v>
      </c>
      <c r="J3141" s="1">
        <v>27.37</v>
      </c>
      <c r="K3141" t="s">
        <v>6</v>
      </c>
    </row>
    <row r="3142" spans="1:11">
      <c r="A3142" t="s">
        <v>3092</v>
      </c>
      <c r="B3142">
        <v>552440</v>
      </c>
      <c r="C3142" s="2" t="str">
        <f>"8510"</f>
        <v>8510</v>
      </c>
      <c r="D3142" t="s">
        <v>3101</v>
      </c>
      <c r="E3142" t="s">
        <v>4</v>
      </c>
      <c r="F3142">
        <v>6</v>
      </c>
      <c r="H3142" t="s">
        <v>5</v>
      </c>
      <c r="I3142" s="1">
        <v>21.7</v>
      </c>
      <c r="J3142" s="1">
        <v>21.59</v>
      </c>
      <c r="K3142" t="s">
        <v>6</v>
      </c>
    </row>
    <row r="3143" spans="1:11">
      <c r="A3143" t="s">
        <v>3092</v>
      </c>
      <c r="B3143">
        <v>552444</v>
      </c>
      <c r="C3143" s="2" t="str">
        <f>"8520"</f>
        <v>8520</v>
      </c>
      <c r="D3143" t="s">
        <v>3102</v>
      </c>
      <c r="E3143" t="s">
        <v>4</v>
      </c>
      <c r="F3143">
        <v>6.9</v>
      </c>
      <c r="H3143" t="s">
        <v>5</v>
      </c>
      <c r="I3143" s="1">
        <v>23.78</v>
      </c>
      <c r="J3143" s="1">
        <v>23.66</v>
      </c>
      <c r="K3143" t="s">
        <v>6</v>
      </c>
    </row>
    <row r="3144" spans="1:11">
      <c r="A3144" t="s">
        <v>3092</v>
      </c>
      <c r="B3144">
        <v>552441</v>
      </c>
      <c r="C3144" s="2" t="str">
        <f>"8530"</f>
        <v>8530</v>
      </c>
      <c r="D3144" t="s">
        <v>3103</v>
      </c>
      <c r="E3144" t="s">
        <v>4</v>
      </c>
      <c r="F3144">
        <v>13.25</v>
      </c>
      <c r="H3144" t="s">
        <v>5</v>
      </c>
      <c r="I3144" s="1">
        <v>39.81</v>
      </c>
      <c r="J3144" s="1">
        <v>39.61</v>
      </c>
      <c r="K3144" t="s">
        <v>6</v>
      </c>
    </row>
    <row r="3145" spans="1:11">
      <c r="A3145" t="s">
        <v>3092</v>
      </c>
      <c r="B3145">
        <v>552445</v>
      </c>
      <c r="C3145" s="2" t="str">
        <f>"8540"</f>
        <v>8540</v>
      </c>
      <c r="D3145" t="s">
        <v>3104</v>
      </c>
      <c r="E3145" t="s">
        <v>4</v>
      </c>
      <c r="F3145">
        <v>13.95</v>
      </c>
      <c r="H3145" t="s">
        <v>5</v>
      </c>
      <c r="I3145" s="1">
        <v>42.06</v>
      </c>
      <c r="J3145" s="1">
        <v>41.85</v>
      </c>
      <c r="K3145" t="s">
        <v>6</v>
      </c>
    </row>
    <row r="3146" spans="1:11">
      <c r="A3146" t="s">
        <v>3092</v>
      </c>
      <c r="B3146">
        <v>552450</v>
      </c>
      <c r="C3146" s="2" t="str">
        <f>"8710"</f>
        <v>8710</v>
      </c>
      <c r="D3146" t="s">
        <v>3105</v>
      </c>
      <c r="E3146" t="s">
        <v>4</v>
      </c>
      <c r="F3146">
        <v>5.5</v>
      </c>
      <c r="H3146" t="s">
        <v>5</v>
      </c>
      <c r="I3146" s="1">
        <v>19.989999999999998</v>
      </c>
      <c r="J3146" s="1">
        <v>19.89</v>
      </c>
      <c r="K3146" t="s">
        <v>6</v>
      </c>
    </row>
    <row r="3147" spans="1:11">
      <c r="A3147" t="s">
        <v>3092</v>
      </c>
      <c r="B3147">
        <v>552451</v>
      </c>
      <c r="C3147" s="2" t="str">
        <f>"8770"</f>
        <v>8770</v>
      </c>
      <c r="D3147" t="s">
        <v>3106</v>
      </c>
      <c r="E3147" t="s">
        <v>4</v>
      </c>
      <c r="F3147">
        <v>4.25</v>
      </c>
      <c r="H3147" t="s">
        <v>5</v>
      </c>
      <c r="I3147" s="1">
        <v>15.61</v>
      </c>
      <c r="J3147" s="1">
        <v>15.54</v>
      </c>
      <c r="K3147" t="s">
        <v>6</v>
      </c>
    </row>
    <row r="3148" spans="1:11">
      <c r="A3148" t="s">
        <v>3092</v>
      </c>
      <c r="B3148">
        <v>552452</v>
      </c>
      <c r="C3148" s="2" t="str">
        <f>"8870"</f>
        <v>8870</v>
      </c>
      <c r="D3148" t="s">
        <v>3107</v>
      </c>
      <c r="E3148" t="s">
        <v>4</v>
      </c>
      <c r="F3148">
        <v>6.75</v>
      </c>
      <c r="H3148" t="s">
        <v>5</v>
      </c>
      <c r="I3148" s="1">
        <v>23.36</v>
      </c>
      <c r="J3148" s="1">
        <v>23.24</v>
      </c>
      <c r="K3148" t="s">
        <v>6</v>
      </c>
    </row>
    <row r="3149" spans="1:11">
      <c r="A3149" t="s">
        <v>3092</v>
      </c>
      <c r="B3149">
        <v>552453</v>
      </c>
      <c r="C3149" s="2" t="str">
        <f>"8910"</f>
        <v>8910</v>
      </c>
      <c r="D3149" t="s">
        <v>3108</v>
      </c>
      <c r="E3149" t="s">
        <v>4</v>
      </c>
      <c r="F3149">
        <v>10</v>
      </c>
      <c r="H3149" t="s">
        <v>5</v>
      </c>
      <c r="I3149" s="1">
        <v>37.43</v>
      </c>
      <c r="J3149" s="1">
        <v>37.25</v>
      </c>
      <c r="K3149" t="s">
        <v>6</v>
      </c>
    </row>
    <row r="3150" spans="1:11">
      <c r="A3150" t="s">
        <v>3092</v>
      </c>
      <c r="B3150">
        <v>522520</v>
      </c>
      <c r="C3150" s="2" t="str">
        <f>"910"</f>
        <v>910</v>
      </c>
      <c r="D3150" t="s">
        <v>3109</v>
      </c>
      <c r="E3150" t="s">
        <v>4</v>
      </c>
      <c r="F3150">
        <v>14.17</v>
      </c>
      <c r="H3150" t="s">
        <v>5</v>
      </c>
      <c r="I3150" s="1">
        <v>42.63</v>
      </c>
      <c r="J3150" s="1">
        <v>42.42</v>
      </c>
      <c r="K3150" t="s">
        <v>6</v>
      </c>
    </row>
    <row r="3151" spans="1:11">
      <c r="A3151" t="s">
        <v>3092</v>
      </c>
      <c r="B3151">
        <v>522521</v>
      </c>
      <c r="C3151" s="2" t="str">
        <f>"924"</f>
        <v>924</v>
      </c>
      <c r="D3151" t="s">
        <v>3110</v>
      </c>
      <c r="E3151" t="s">
        <v>4</v>
      </c>
      <c r="F3151">
        <v>11</v>
      </c>
      <c r="H3151" t="s">
        <v>5</v>
      </c>
      <c r="I3151" s="1">
        <v>41.09</v>
      </c>
      <c r="J3151" s="1">
        <v>40.89</v>
      </c>
      <c r="K3151" t="s">
        <v>6</v>
      </c>
    </row>
    <row r="3152" spans="1:11">
      <c r="A3152" t="s">
        <v>3252</v>
      </c>
      <c r="B3152">
        <v>436551</v>
      </c>
      <c r="C3152" s="2" t="str">
        <f>"CH201280-10P"</f>
        <v>CH201280-10P</v>
      </c>
      <c r="D3152" t="s">
        <v>3253</v>
      </c>
      <c r="E3152" t="s">
        <v>4</v>
      </c>
      <c r="F3152">
        <v>39</v>
      </c>
      <c r="H3152" t="s">
        <v>5</v>
      </c>
      <c r="I3152" s="1">
        <v>717.96</v>
      </c>
      <c r="J3152" s="1">
        <v>680.19</v>
      </c>
      <c r="K3152" t="s">
        <v>6</v>
      </c>
    </row>
    <row r="3153" spans="1:12">
      <c r="A3153" t="s">
        <v>3252</v>
      </c>
      <c r="B3153">
        <v>423355</v>
      </c>
      <c r="C3153" s="2" t="str">
        <f>"CL2PBIAWH"</f>
        <v>CL2PBIAWH</v>
      </c>
      <c r="D3153" t="s">
        <v>3254</v>
      </c>
      <c r="E3153" t="s">
        <v>4</v>
      </c>
      <c r="F3153">
        <v>5</v>
      </c>
      <c r="H3153" t="s">
        <v>5</v>
      </c>
      <c r="I3153" s="1">
        <v>73.66</v>
      </c>
      <c r="J3153" s="1">
        <v>69.78</v>
      </c>
      <c r="K3153" t="s">
        <v>6</v>
      </c>
    </row>
    <row r="3154" spans="1:12">
      <c r="A3154" t="s">
        <v>3252</v>
      </c>
      <c r="B3154">
        <v>516120</v>
      </c>
      <c r="C3154" s="2" t="str">
        <f>"CL2PWABK"</f>
        <v>CL2PWABK</v>
      </c>
      <c r="D3154" t="s">
        <v>3255</v>
      </c>
      <c r="E3154" t="s">
        <v>4</v>
      </c>
      <c r="F3154">
        <v>5.5</v>
      </c>
      <c r="H3154" t="s">
        <v>5</v>
      </c>
      <c r="I3154" s="1">
        <v>131.08000000000001</v>
      </c>
      <c r="J3154" s="1">
        <v>124.19</v>
      </c>
      <c r="K3154" t="s">
        <v>6</v>
      </c>
    </row>
    <row r="3155" spans="1:12">
      <c r="A3155" t="s">
        <v>3252</v>
      </c>
      <c r="B3155">
        <v>423346</v>
      </c>
      <c r="C3155" s="2" t="str">
        <f>"CL2PX25BETF"</f>
        <v>CL2PX25BETF</v>
      </c>
      <c r="D3155" t="s">
        <v>3256</v>
      </c>
      <c r="E3155" t="s">
        <v>4</v>
      </c>
      <c r="F3155">
        <v>7</v>
      </c>
      <c r="H3155" t="s">
        <v>5</v>
      </c>
      <c r="I3155" s="1">
        <v>111.75</v>
      </c>
      <c r="J3155" s="1">
        <v>105.86</v>
      </c>
      <c r="K3155" t="s">
        <v>6</v>
      </c>
    </row>
    <row r="3156" spans="1:12">
      <c r="A3156" t="s">
        <v>3252</v>
      </c>
      <c r="B3156">
        <v>423347</v>
      </c>
      <c r="C3156" s="2" t="str">
        <f>"CL2PX27BETF"</f>
        <v>CL2PX27BETF</v>
      </c>
      <c r="D3156" t="s">
        <v>3257</v>
      </c>
      <c r="E3156" t="s">
        <v>4</v>
      </c>
      <c r="F3156">
        <v>8</v>
      </c>
      <c r="H3156" t="s">
        <v>5</v>
      </c>
      <c r="I3156" s="1">
        <v>131.24</v>
      </c>
      <c r="J3156" s="1">
        <v>124.32</v>
      </c>
      <c r="K3156" t="s">
        <v>6</v>
      </c>
    </row>
    <row r="3157" spans="1:12">
      <c r="A3157" t="s">
        <v>3252</v>
      </c>
      <c r="B3157">
        <v>423356</v>
      </c>
      <c r="C3157" s="2" t="str">
        <f>"CL3PBIABGFP"</f>
        <v>CL3PBIABGFP</v>
      </c>
      <c r="D3157" t="s">
        <v>3258</v>
      </c>
      <c r="E3157" t="s">
        <v>4</v>
      </c>
      <c r="F3157">
        <v>5</v>
      </c>
      <c r="H3157" t="s">
        <v>5</v>
      </c>
      <c r="I3157" s="1">
        <v>124.71</v>
      </c>
      <c r="J3157" s="1">
        <v>118.14</v>
      </c>
      <c r="K3157" t="s">
        <v>6</v>
      </c>
    </row>
    <row r="3158" spans="1:12">
      <c r="A3158" t="s">
        <v>3252</v>
      </c>
      <c r="B3158">
        <v>423357</v>
      </c>
      <c r="C3158" s="2" t="str">
        <f>"CL3PBIABKFP"</f>
        <v>CL3PBIABKFP</v>
      </c>
      <c r="D3158" t="s">
        <v>3259</v>
      </c>
      <c r="E3158" t="s">
        <v>4</v>
      </c>
      <c r="F3158">
        <v>5</v>
      </c>
      <c r="H3158" t="s">
        <v>5</v>
      </c>
      <c r="I3158" s="1">
        <v>124.71</v>
      </c>
      <c r="J3158" s="1">
        <v>118.14</v>
      </c>
      <c r="K3158" t="s">
        <v>6</v>
      </c>
    </row>
    <row r="3159" spans="1:12">
      <c r="A3159" t="s">
        <v>3252</v>
      </c>
      <c r="B3159">
        <v>423359</v>
      </c>
      <c r="C3159" s="2" t="str">
        <f>"CL3PBIAHGFP"</f>
        <v>CL3PBIAHGFP</v>
      </c>
      <c r="D3159" t="s">
        <v>3260</v>
      </c>
      <c r="E3159" t="s">
        <v>4</v>
      </c>
      <c r="F3159">
        <v>5</v>
      </c>
      <c r="H3159" t="s">
        <v>5</v>
      </c>
      <c r="I3159" s="1">
        <v>124.71</v>
      </c>
      <c r="J3159" s="1">
        <v>118.14</v>
      </c>
      <c r="K3159" t="s">
        <v>6</v>
      </c>
    </row>
    <row r="3160" spans="1:12">
      <c r="A3160" t="s">
        <v>3252</v>
      </c>
      <c r="B3160">
        <v>423360</v>
      </c>
      <c r="C3160" s="2" t="str">
        <f>"CL3PBIANVFP"</f>
        <v>CL3PBIANVFP</v>
      </c>
      <c r="D3160" t="s">
        <v>3261</v>
      </c>
      <c r="E3160" t="s">
        <v>4</v>
      </c>
      <c r="F3160">
        <v>5</v>
      </c>
      <c r="H3160" t="s">
        <v>5</v>
      </c>
      <c r="I3160" s="1">
        <v>124.71</v>
      </c>
      <c r="J3160" s="1">
        <v>118.14</v>
      </c>
      <c r="K3160" t="s">
        <v>6</v>
      </c>
    </row>
    <row r="3161" spans="1:12">
      <c r="A3161" t="s">
        <v>3252</v>
      </c>
      <c r="B3161">
        <v>423361</v>
      </c>
      <c r="C3161" s="2" t="str">
        <f>"CL3PBIARDFP"</f>
        <v>CL3PBIARDFP</v>
      </c>
      <c r="D3161" t="s">
        <v>3262</v>
      </c>
      <c r="E3161" t="s">
        <v>4</v>
      </c>
      <c r="F3161">
        <v>5</v>
      </c>
      <c r="H3161" t="s">
        <v>5</v>
      </c>
      <c r="I3161" s="1">
        <v>124.71</v>
      </c>
      <c r="J3161" s="1">
        <v>118.14</v>
      </c>
      <c r="K3161" t="s">
        <v>6</v>
      </c>
    </row>
    <row r="3162" spans="1:12">
      <c r="A3162" t="s">
        <v>3252</v>
      </c>
      <c r="B3162">
        <v>423367</v>
      </c>
      <c r="C3162" s="2" t="str">
        <f>"CL3PWACBK"</f>
        <v>CL3PWACBK</v>
      </c>
      <c r="D3162" t="s">
        <v>3263</v>
      </c>
      <c r="E3162" t="s">
        <v>4</v>
      </c>
      <c r="F3162">
        <v>3</v>
      </c>
      <c r="H3162" t="s">
        <v>5</v>
      </c>
      <c r="I3162" s="1">
        <v>91.29</v>
      </c>
      <c r="J3162" s="1">
        <v>86.49</v>
      </c>
      <c r="K3162" t="s">
        <v>6</v>
      </c>
    </row>
    <row r="3163" spans="1:12">
      <c r="A3163" t="s">
        <v>3252</v>
      </c>
      <c r="B3163">
        <v>423370</v>
      </c>
      <c r="C3163" s="2" t="str">
        <f>"CL3PWACHG"</f>
        <v>CL3PWACHG</v>
      </c>
      <c r="D3163" t="s">
        <v>3264</v>
      </c>
      <c r="E3163" t="s">
        <v>4</v>
      </c>
      <c r="F3163">
        <v>3</v>
      </c>
      <c r="H3163" t="s">
        <v>5</v>
      </c>
      <c r="I3163" s="1">
        <v>91.29</v>
      </c>
      <c r="J3163" s="1">
        <v>86.49</v>
      </c>
      <c r="K3163" t="s">
        <v>6</v>
      </c>
    </row>
    <row r="3164" spans="1:12">
      <c r="A3164" t="s">
        <v>3252</v>
      </c>
      <c r="B3164">
        <v>423354</v>
      </c>
      <c r="C3164" s="2" t="str">
        <f>"CLBIAWH"</f>
        <v>CLBIAWH</v>
      </c>
      <c r="D3164" t="s">
        <v>3265</v>
      </c>
      <c r="E3164" t="s">
        <v>4</v>
      </c>
      <c r="F3164">
        <v>5</v>
      </c>
      <c r="H3164" t="s">
        <v>5</v>
      </c>
      <c r="I3164" s="1">
        <v>68.84</v>
      </c>
      <c r="J3164" s="1">
        <v>65.22</v>
      </c>
      <c r="K3164" t="s">
        <v>6</v>
      </c>
    </row>
    <row r="3165" spans="1:12">
      <c r="A3165" t="s">
        <v>3252</v>
      </c>
      <c r="B3165">
        <v>428350</v>
      </c>
      <c r="C3165" s="2" t="str">
        <f>"CLBMR"</f>
        <v>CLBMR</v>
      </c>
      <c r="D3165" t="s">
        <v>3266</v>
      </c>
      <c r="E3165" t="s">
        <v>4</v>
      </c>
      <c r="F3165">
        <v>24.48</v>
      </c>
      <c r="G3165">
        <v>2.04</v>
      </c>
      <c r="H3165" t="s">
        <v>106</v>
      </c>
      <c r="I3165" s="1">
        <v>16.12</v>
      </c>
      <c r="J3165" s="1">
        <v>15.28</v>
      </c>
      <c r="K3165" t="s">
        <v>1274</v>
      </c>
      <c r="L3165" s="1">
        <v>16.8</v>
      </c>
    </row>
    <row r="3166" spans="1:12">
      <c r="A3166" t="s">
        <v>3252</v>
      </c>
      <c r="B3166">
        <v>430133</v>
      </c>
      <c r="C3166" s="2" t="str">
        <f>"CLCH3"</f>
        <v>CLCH3</v>
      </c>
      <c r="D3166" t="s">
        <v>3267</v>
      </c>
      <c r="E3166" t="s">
        <v>4</v>
      </c>
      <c r="F3166">
        <v>2.04</v>
      </c>
      <c r="G3166">
        <v>0.17</v>
      </c>
      <c r="H3166" t="s">
        <v>106</v>
      </c>
      <c r="I3166" s="1">
        <v>6.79</v>
      </c>
      <c r="J3166" s="1">
        <v>6.44</v>
      </c>
      <c r="K3166" t="s">
        <v>457</v>
      </c>
      <c r="L3166" s="1">
        <v>7.08</v>
      </c>
    </row>
    <row r="3167" spans="1:12">
      <c r="A3167" t="s">
        <v>3252</v>
      </c>
      <c r="B3167">
        <v>430139</v>
      </c>
      <c r="C3167" s="2" t="str">
        <f>"CLCOAT1X"</f>
        <v>CLCOAT1X</v>
      </c>
      <c r="D3167" t="s">
        <v>3268</v>
      </c>
      <c r="E3167" t="s">
        <v>4</v>
      </c>
      <c r="F3167">
        <v>7.98</v>
      </c>
      <c r="G3167">
        <v>1.33</v>
      </c>
      <c r="H3167" t="s">
        <v>20</v>
      </c>
      <c r="I3167" s="1">
        <v>31.01</v>
      </c>
      <c r="J3167" s="1">
        <v>29.37</v>
      </c>
      <c r="K3167" t="s">
        <v>457</v>
      </c>
      <c r="L3167" s="1">
        <v>32.299999999999997</v>
      </c>
    </row>
    <row r="3168" spans="1:12">
      <c r="A3168" t="s">
        <v>3252</v>
      </c>
      <c r="B3168">
        <v>430140</v>
      </c>
      <c r="C3168" s="2" t="str">
        <f>"CLCOAT2X"</f>
        <v>CLCOAT2X</v>
      </c>
      <c r="D3168" t="s">
        <v>3269</v>
      </c>
      <c r="E3168" t="s">
        <v>4</v>
      </c>
      <c r="F3168">
        <v>7.98</v>
      </c>
      <c r="G3168">
        <v>1.33</v>
      </c>
      <c r="H3168" t="s">
        <v>20</v>
      </c>
      <c r="I3168" s="1">
        <v>35.130000000000003</v>
      </c>
      <c r="J3168" s="1">
        <v>33.28</v>
      </c>
      <c r="K3168" t="s">
        <v>457</v>
      </c>
      <c r="L3168" s="1">
        <v>36.61</v>
      </c>
    </row>
    <row r="3169" spans="1:12">
      <c r="A3169" t="s">
        <v>3252</v>
      </c>
      <c r="B3169">
        <v>430138</v>
      </c>
      <c r="C3169" s="2" t="str">
        <f>"CLCOATLG"</f>
        <v>CLCOATLG</v>
      </c>
      <c r="D3169" t="s">
        <v>3270</v>
      </c>
      <c r="E3169" t="s">
        <v>4</v>
      </c>
      <c r="F3169">
        <v>7.02</v>
      </c>
      <c r="G3169">
        <v>1.17</v>
      </c>
      <c r="H3169" t="s">
        <v>20</v>
      </c>
      <c r="I3169" s="1">
        <v>27.91</v>
      </c>
      <c r="J3169" s="1">
        <v>26.44</v>
      </c>
      <c r="K3169" t="s">
        <v>457</v>
      </c>
      <c r="L3169" s="1">
        <v>29.09</v>
      </c>
    </row>
    <row r="3170" spans="1:12">
      <c r="A3170" t="s">
        <v>3252</v>
      </c>
      <c r="B3170">
        <v>430137</v>
      </c>
      <c r="C3170" s="2" t="str">
        <f>"CLCOATMM"</f>
        <v>CLCOATMM</v>
      </c>
      <c r="D3170" t="s">
        <v>3271</v>
      </c>
      <c r="E3170" t="s">
        <v>4</v>
      </c>
      <c r="F3170">
        <v>6</v>
      </c>
      <c r="G3170">
        <v>1</v>
      </c>
      <c r="H3170" t="s">
        <v>20</v>
      </c>
      <c r="I3170" s="1">
        <v>27.91</v>
      </c>
      <c r="J3170" s="1">
        <v>26.44</v>
      </c>
      <c r="K3170" t="s">
        <v>457</v>
      </c>
      <c r="L3170" s="1">
        <v>29.09</v>
      </c>
    </row>
    <row r="3171" spans="1:12">
      <c r="A3171" t="s">
        <v>3252</v>
      </c>
      <c r="B3171">
        <v>430136</v>
      </c>
      <c r="C3171" s="2" t="str">
        <f>"CLCOATSM"</f>
        <v>CLCOATSM</v>
      </c>
      <c r="D3171" t="s">
        <v>3272</v>
      </c>
      <c r="E3171" t="s">
        <v>4</v>
      </c>
      <c r="F3171">
        <v>7.02</v>
      </c>
      <c r="G3171">
        <v>1.17</v>
      </c>
      <c r="H3171" t="s">
        <v>20</v>
      </c>
      <c r="I3171" s="1">
        <v>27.91</v>
      </c>
      <c r="J3171" s="1">
        <v>26.44</v>
      </c>
      <c r="K3171" t="s">
        <v>457</v>
      </c>
      <c r="L3171" s="1">
        <v>29.09</v>
      </c>
    </row>
    <row r="3172" spans="1:12">
      <c r="A3172" t="s">
        <v>3252</v>
      </c>
      <c r="B3172">
        <v>458975</v>
      </c>
      <c r="C3172" s="2" t="str">
        <f>"CLOMS26SL"</f>
        <v>CLOMS26SL</v>
      </c>
      <c r="D3172" t="s">
        <v>3273</v>
      </c>
      <c r="E3172" t="s">
        <v>4</v>
      </c>
      <c r="F3172">
        <v>6</v>
      </c>
      <c r="H3172" t="s">
        <v>5</v>
      </c>
      <c r="I3172" s="1">
        <v>81.13</v>
      </c>
      <c r="J3172" s="1">
        <v>76.87</v>
      </c>
      <c r="K3172" t="s">
        <v>6</v>
      </c>
    </row>
    <row r="3173" spans="1:12">
      <c r="A3173" t="s">
        <v>3252</v>
      </c>
      <c r="B3173">
        <v>423366</v>
      </c>
      <c r="C3173" s="2" t="str">
        <f>"CLOSVA"</f>
        <v>CLOSVA</v>
      </c>
      <c r="D3173" t="s">
        <v>3274</v>
      </c>
      <c r="E3173" t="s">
        <v>4</v>
      </c>
      <c r="F3173">
        <v>6</v>
      </c>
      <c r="H3173" t="s">
        <v>5</v>
      </c>
      <c r="I3173" s="1">
        <v>96.41</v>
      </c>
      <c r="J3173" s="1">
        <v>91.33</v>
      </c>
      <c r="K3173" t="s">
        <v>6</v>
      </c>
    </row>
    <row r="3174" spans="1:12">
      <c r="A3174" t="s">
        <v>3252</v>
      </c>
      <c r="B3174">
        <v>423350</v>
      </c>
      <c r="C3174" s="2" t="str">
        <f>"CLPG1"</f>
        <v>CLPG1</v>
      </c>
      <c r="D3174" t="s">
        <v>3275</v>
      </c>
      <c r="E3174" t="s">
        <v>4</v>
      </c>
      <c r="F3174">
        <v>5</v>
      </c>
      <c r="H3174" t="s">
        <v>5</v>
      </c>
      <c r="I3174" s="1">
        <v>52.53</v>
      </c>
      <c r="J3174" s="1">
        <v>49.78</v>
      </c>
      <c r="K3174" t="s">
        <v>6</v>
      </c>
    </row>
    <row r="3175" spans="1:12">
      <c r="A3175" t="s">
        <v>3252</v>
      </c>
      <c r="B3175">
        <v>430151</v>
      </c>
      <c r="C3175" s="2" t="str">
        <f>"CLSHIRT1X"</f>
        <v>CLSHIRT1X</v>
      </c>
      <c r="D3175" t="s">
        <v>3276</v>
      </c>
      <c r="E3175" t="s">
        <v>4</v>
      </c>
      <c r="F3175">
        <v>4.9800000000000004</v>
      </c>
      <c r="G3175">
        <v>0.83</v>
      </c>
      <c r="H3175" t="s">
        <v>20</v>
      </c>
      <c r="I3175" s="1">
        <v>19.899999999999999</v>
      </c>
      <c r="J3175" s="1">
        <v>18.86</v>
      </c>
      <c r="K3175" t="s">
        <v>457</v>
      </c>
      <c r="L3175" s="1">
        <v>20.75</v>
      </c>
    </row>
    <row r="3176" spans="1:12">
      <c r="A3176" t="s">
        <v>3252</v>
      </c>
      <c r="B3176">
        <v>430150</v>
      </c>
      <c r="C3176" s="2" t="str">
        <f>"CLSHIRTLG"</f>
        <v>CLSHIRTLG</v>
      </c>
      <c r="D3176" t="s">
        <v>3277</v>
      </c>
      <c r="E3176" t="s">
        <v>4</v>
      </c>
      <c r="F3176">
        <v>4.9800000000000004</v>
      </c>
      <c r="G3176">
        <v>0.83</v>
      </c>
      <c r="H3176" t="s">
        <v>20</v>
      </c>
      <c r="I3176" s="1">
        <v>19.899999999999999</v>
      </c>
      <c r="J3176" s="1">
        <v>18.86</v>
      </c>
      <c r="K3176" t="s">
        <v>457</v>
      </c>
      <c r="L3176" s="1">
        <v>20.75</v>
      </c>
    </row>
    <row r="3177" spans="1:12">
      <c r="A3177" t="s">
        <v>3252</v>
      </c>
      <c r="B3177">
        <v>430149</v>
      </c>
      <c r="C3177" s="2" t="str">
        <f>"CLSHIRTMM"</f>
        <v>CLSHIRTMM</v>
      </c>
      <c r="D3177" t="s">
        <v>3278</v>
      </c>
      <c r="E3177" t="s">
        <v>4</v>
      </c>
      <c r="F3177">
        <v>4.9800000000000004</v>
      </c>
      <c r="G3177">
        <v>0.83</v>
      </c>
      <c r="H3177" t="s">
        <v>20</v>
      </c>
      <c r="I3177" s="1">
        <v>19.899999999999999</v>
      </c>
      <c r="J3177" s="1">
        <v>18.86</v>
      </c>
      <c r="K3177" t="s">
        <v>457</v>
      </c>
      <c r="L3177" s="1">
        <v>20.75</v>
      </c>
    </row>
    <row r="3178" spans="1:12">
      <c r="A3178" t="s">
        <v>3252</v>
      </c>
      <c r="B3178">
        <v>430147</v>
      </c>
      <c r="C3178" s="2" t="str">
        <f>"CLSHIRTSM"</f>
        <v>CLSHIRTSM</v>
      </c>
      <c r="D3178" t="s">
        <v>3279</v>
      </c>
      <c r="E3178" t="s">
        <v>4</v>
      </c>
      <c r="F3178">
        <v>4.0199999999999996</v>
      </c>
      <c r="G3178">
        <v>0.67</v>
      </c>
      <c r="H3178" t="s">
        <v>20</v>
      </c>
      <c r="I3178" s="1">
        <v>19.899999999999999</v>
      </c>
      <c r="J3178" s="1">
        <v>18.86</v>
      </c>
      <c r="K3178" t="s">
        <v>457</v>
      </c>
      <c r="L3178" s="1">
        <v>20.75</v>
      </c>
    </row>
    <row r="3179" spans="1:12">
      <c r="A3179" t="s">
        <v>3252</v>
      </c>
      <c r="B3179">
        <v>423351</v>
      </c>
      <c r="C3179" s="2" t="str">
        <f>"CLTPH8BK"</f>
        <v>CLTPH8BK</v>
      </c>
      <c r="D3179" t="s">
        <v>3280</v>
      </c>
      <c r="E3179" t="s">
        <v>4</v>
      </c>
      <c r="F3179">
        <v>4.5</v>
      </c>
      <c r="H3179" t="s">
        <v>5</v>
      </c>
      <c r="I3179" s="1">
        <v>57.28</v>
      </c>
      <c r="J3179" s="1">
        <v>54.26</v>
      </c>
      <c r="K3179" t="s">
        <v>6</v>
      </c>
    </row>
    <row r="3180" spans="1:12">
      <c r="A3180" t="s">
        <v>3252</v>
      </c>
      <c r="B3180">
        <v>423365</v>
      </c>
      <c r="C3180" s="2" t="str">
        <f>"CLVA"</f>
        <v>CLVA</v>
      </c>
      <c r="D3180" t="s">
        <v>3281</v>
      </c>
      <c r="E3180" t="s">
        <v>4</v>
      </c>
      <c r="F3180">
        <v>6</v>
      </c>
      <c r="H3180" t="s">
        <v>5</v>
      </c>
      <c r="I3180" s="1">
        <v>91.74</v>
      </c>
      <c r="J3180" s="1">
        <v>86.91</v>
      </c>
      <c r="K3180" t="s">
        <v>6</v>
      </c>
    </row>
    <row r="3181" spans="1:12">
      <c r="A3181" t="s">
        <v>3252</v>
      </c>
      <c r="B3181">
        <v>436558</v>
      </c>
      <c r="C3181" s="2" t="str">
        <f>"CLVAHD"</f>
        <v>CLVAHD</v>
      </c>
      <c r="D3181" t="s">
        <v>3282</v>
      </c>
      <c r="E3181" t="s">
        <v>4</v>
      </c>
      <c r="F3181">
        <v>6</v>
      </c>
      <c r="H3181" t="s">
        <v>5</v>
      </c>
      <c r="I3181" s="1">
        <v>137.9</v>
      </c>
      <c r="J3181" s="1">
        <v>130.63999999999999</v>
      </c>
      <c r="K3181" t="s">
        <v>6</v>
      </c>
    </row>
    <row r="3182" spans="1:12">
      <c r="A3182" t="s">
        <v>3252</v>
      </c>
      <c r="B3182">
        <v>432007</v>
      </c>
      <c r="C3182" s="2" t="str">
        <f>"RPTW"</f>
        <v>RPTW</v>
      </c>
      <c r="D3182" t="s">
        <v>3283</v>
      </c>
      <c r="E3182" t="s">
        <v>4</v>
      </c>
      <c r="F3182">
        <v>11</v>
      </c>
      <c r="G3182">
        <v>2.2000000000000002</v>
      </c>
      <c r="H3182" t="s">
        <v>151</v>
      </c>
      <c r="I3182" s="1">
        <v>29.43</v>
      </c>
      <c r="J3182" s="1">
        <v>27.89</v>
      </c>
      <c r="K3182" t="s">
        <v>667</v>
      </c>
      <c r="L3182" s="1">
        <v>30.67</v>
      </c>
    </row>
    <row r="3183" spans="1:12">
      <c r="A3183" t="s">
        <v>3284</v>
      </c>
      <c r="B3183">
        <v>472348</v>
      </c>
      <c r="C3183" s="2" t="str">
        <f>"08743/07"</f>
        <v>08743/07</v>
      </c>
      <c r="D3183" t="s">
        <v>3285</v>
      </c>
      <c r="E3183" t="s">
        <v>4</v>
      </c>
      <c r="F3183">
        <v>7</v>
      </c>
      <c r="H3183" t="s">
        <v>5</v>
      </c>
      <c r="I3183" s="1">
        <v>78.790000000000006</v>
      </c>
      <c r="J3183" s="1">
        <v>78.790000000000006</v>
      </c>
      <c r="K3183" t="s">
        <v>6</v>
      </c>
    </row>
    <row r="3184" spans="1:12">
      <c r="A3184" t="s">
        <v>3284</v>
      </c>
      <c r="B3184">
        <v>472332</v>
      </c>
      <c r="C3184" s="2" t="str">
        <f>"08745/07"</f>
        <v>08745/07</v>
      </c>
      <c r="D3184" t="s">
        <v>3286</v>
      </c>
      <c r="E3184" t="s">
        <v>4</v>
      </c>
      <c r="F3184">
        <v>7</v>
      </c>
      <c r="H3184" t="s">
        <v>5</v>
      </c>
      <c r="I3184" s="1">
        <v>78.790000000000006</v>
      </c>
      <c r="J3184" s="1">
        <v>78.790000000000006</v>
      </c>
      <c r="K3184" t="s">
        <v>6</v>
      </c>
    </row>
    <row r="3185" spans="1:11">
      <c r="A3185" t="s">
        <v>3284</v>
      </c>
      <c r="B3185">
        <v>412614</v>
      </c>
      <c r="C3185" s="2" t="str">
        <f>"1013HT"</f>
        <v>1013HT</v>
      </c>
      <c r="D3185" t="s">
        <v>3287</v>
      </c>
      <c r="E3185" t="s">
        <v>4</v>
      </c>
      <c r="F3185">
        <v>23.9</v>
      </c>
      <c r="H3185" t="s">
        <v>5</v>
      </c>
      <c r="I3185" s="1">
        <v>81.819999999999993</v>
      </c>
      <c r="J3185" s="1">
        <v>81.819999999999993</v>
      </c>
      <c r="K3185" t="s">
        <v>6</v>
      </c>
    </row>
    <row r="3186" spans="1:11">
      <c r="A3186" t="s">
        <v>3284</v>
      </c>
      <c r="B3186">
        <v>478918</v>
      </c>
      <c r="C3186" s="2" t="str">
        <f>"11057822"</f>
        <v>11057822</v>
      </c>
      <c r="D3186" t="s">
        <v>3288</v>
      </c>
      <c r="E3186" t="s">
        <v>4</v>
      </c>
      <c r="F3186">
        <v>7.83</v>
      </c>
      <c r="H3186" t="s">
        <v>5</v>
      </c>
      <c r="I3186" s="1">
        <v>21.36</v>
      </c>
      <c r="J3186" s="1">
        <v>21.36</v>
      </c>
      <c r="K3186" t="s">
        <v>6</v>
      </c>
    </row>
    <row r="3187" spans="1:11">
      <c r="A3187" t="s">
        <v>3284</v>
      </c>
      <c r="B3187">
        <v>431610</v>
      </c>
      <c r="C3187" s="2" t="str">
        <f>"11110722"</f>
        <v>11110722</v>
      </c>
      <c r="D3187" t="s">
        <v>3289</v>
      </c>
      <c r="E3187" t="s">
        <v>4</v>
      </c>
      <c r="F3187">
        <v>8.5</v>
      </c>
      <c r="H3187" t="s">
        <v>5</v>
      </c>
      <c r="I3187" s="1">
        <v>25.1</v>
      </c>
      <c r="J3187" s="1">
        <v>25.1</v>
      </c>
      <c r="K3187" t="s">
        <v>6</v>
      </c>
    </row>
    <row r="3188" spans="1:11">
      <c r="A3188" t="s">
        <v>3284</v>
      </c>
      <c r="B3188">
        <v>435119</v>
      </c>
      <c r="C3188" s="2" t="str">
        <f>"11161524"</f>
        <v>11161524</v>
      </c>
      <c r="D3188" t="s">
        <v>3290</v>
      </c>
      <c r="E3188" t="s">
        <v>4</v>
      </c>
      <c r="F3188">
        <v>12.44</v>
      </c>
      <c r="H3188" t="s">
        <v>5</v>
      </c>
      <c r="I3188" s="1">
        <v>65.22</v>
      </c>
      <c r="J3188" s="1">
        <v>65.22</v>
      </c>
      <c r="K3188" t="s">
        <v>6</v>
      </c>
    </row>
    <row r="3189" spans="1:11">
      <c r="A3189" t="s">
        <v>3284</v>
      </c>
      <c r="B3189">
        <v>370564</v>
      </c>
      <c r="C3189" s="2" t="str">
        <f>"1176HT"</f>
        <v>1176HT</v>
      </c>
      <c r="D3189" t="s">
        <v>3291</v>
      </c>
      <c r="E3189" t="s">
        <v>4</v>
      </c>
      <c r="F3189">
        <v>23</v>
      </c>
      <c r="H3189" t="s">
        <v>5</v>
      </c>
      <c r="I3189" s="1">
        <v>65.81</v>
      </c>
      <c r="J3189" s="1">
        <v>65.81</v>
      </c>
      <c r="K3189" t="s">
        <v>6</v>
      </c>
    </row>
    <row r="3190" spans="1:11">
      <c r="A3190" t="s">
        <v>3284</v>
      </c>
      <c r="B3190">
        <v>452022</v>
      </c>
      <c r="C3190" s="2" t="str">
        <f>"1178HT"</f>
        <v>1178HT</v>
      </c>
      <c r="D3190" t="s">
        <v>3292</v>
      </c>
      <c r="E3190" t="s">
        <v>4</v>
      </c>
      <c r="F3190">
        <v>15.4</v>
      </c>
      <c r="H3190" t="s">
        <v>5</v>
      </c>
      <c r="I3190" s="1">
        <v>45.02</v>
      </c>
      <c r="J3190" s="1">
        <v>45.02</v>
      </c>
      <c r="K3190" t="s">
        <v>6</v>
      </c>
    </row>
    <row r="3191" spans="1:11">
      <c r="A3191" t="s">
        <v>3284</v>
      </c>
      <c r="B3191">
        <v>452226</v>
      </c>
      <c r="C3191" s="2" t="str">
        <f>"1181HT"</f>
        <v>1181HT</v>
      </c>
      <c r="D3191" t="s">
        <v>3293</v>
      </c>
      <c r="E3191" t="s">
        <v>4</v>
      </c>
      <c r="F3191">
        <v>17.100000000000001</v>
      </c>
      <c r="H3191" t="s">
        <v>5</v>
      </c>
      <c r="I3191" s="1">
        <v>52.52</v>
      </c>
      <c r="J3191" s="1">
        <v>52.52</v>
      </c>
      <c r="K3191" t="s">
        <v>6</v>
      </c>
    </row>
    <row r="3192" spans="1:11">
      <c r="A3192" t="s">
        <v>3284</v>
      </c>
      <c r="B3192">
        <v>370457</v>
      </c>
      <c r="C3192" s="2" t="str">
        <f>"1183HT"</f>
        <v>1183HT</v>
      </c>
      <c r="D3192" t="s">
        <v>3294</v>
      </c>
      <c r="E3192" t="s">
        <v>4</v>
      </c>
      <c r="F3192">
        <v>29</v>
      </c>
      <c r="H3192" t="s">
        <v>5</v>
      </c>
      <c r="I3192" s="1">
        <v>90.48</v>
      </c>
      <c r="J3192" s="1">
        <v>90.48</v>
      </c>
      <c r="K3192" t="s">
        <v>6</v>
      </c>
    </row>
    <row r="3193" spans="1:11">
      <c r="A3193" t="s">
        <v>3284</v>
      </c>
      <c r="B3193">
        <v>370275</v>
      </c>
      <c r="C3193" s="2" t="str">
        <f>"12"</f>
        <v>12</v>
      </c>
      <c r="D3193" t="s">
        <v>3295</v>
      </c>
      <c r="E3193" t="s">
        <v>4</v>
      </c>
      <c r="F3193">
        <v>39</v>
      </c>
      <c r="H3193" t="s">
        <v>5</v>
      </c>
      <c r="I3193" s="1">
        <v>90.04</v>
      </c>
      <c r="J3193" s="1">
        <v>90.04</v>
      </c>
      <c r="K3193" t="s">
        <v>6</v>
      </c>
    </row>
    <row r="3194" spans="1:11">
      <c r="A3194" t="s">
        <v>3284</v>
      </c>
      <c r="B3194">
        <v>455745</v>
      </c>
      <c r="C3194" s="2" t="str">
        <f>"123"</f>
        <v>123</v>
      </c>
      <c r="D3194" t="s">
        <v>3296</v>
      </c>
      <c r="E3194" t="s">
        <v>4</v>
      </c>
      <c r="F3194">
        <v>20.8</v>
      </c>
      <c r="H3194" t="s">
        <v>5</v>
      </c>
      <c r="I3194" s="1">
        <v>55.99</v>
      </c>
      <c r="J3194" s="1">
        <v>55.99</v>
      </c>
      <c r="K3194" t="s">
        <v>6</v>
      </c>
    </row>
    <row r="3195" spans="1:11">
      <c r="A3195" t="s">
        <v>3284</v>
      </c>
      <c r="B3195">
        <v>370318</v>
      </c>
      <c r="C3195" s="2" t="str">
        <f>"124"</f>
        <v>124</v>
      </c>
      <c r="D3195" t="s">
        <v>3297</v>
      </c>
      <c r="E3195" t="s">
        <v>4</v>
      </c>
      <c r="F3195">
        <v>29.2</v>
      </c>
      <c r="H3195" t="s">
        <v>5</v>
      </c>
      <c r="I3195" s="1">
        <v>84.85</v>
      </c>
      <c r="J3195" s="1">
        <v>84.85</v>
      </c>
      <c r="K3195" t="s">
        <v>6</v>
      </c>
    </row>
    <row r="3196" spans="1:11">
      <c r="A3196" t="s">
        <v>3284</v>
      </c>
      <c r="B3196">
        <v>388110</v>
      </c>
      <c r="C3196" s="2" t="str">
        <f>"1240HT"</f>
        <v>1240HT</v>
      </c>
      <c r="D3196" t="s">
        <v>3298</v>
      </c>
      <c r="E3196" t="s">
        <v>4</v>
      </c>
      <c r="F3196">
        <v>21.9</v>
      </c>
      <c r="H3196" t="s">
        <v>5</v>
      </c>
      <c r="I3196" s="1">
        <v>85.71</v>
      </c>
      <c r="J3196" s="1">
        <v>85.71</v>
      </c>
      <c r="K3196" t="s">
        <v>6</v>
      </c>
    </row>
    <row r="3197" spans="1:11">
      <c r="A3197" t="s">
        <v>3284</v>
      </c>
      <c r="B3197">
        <v>419542</v>
      </c>
      <c r="C3197" s="2" t="str">
        <f>"1242HT"</f>
        <v>1242HT</v>
      </c>
      <c r="D3197" t="s">
        <v>3299</v>
      </c>
      <c r="E3197" t="s">
        <v>4</v>
      </c>
      <c r="F3197">
        <v>12.7</v>
      </c>
      <c r="H3197" t="s">
        <v>5</v>
      </c>
      <c r="I3197" s="1">
        <v>36.36</v>
      </c>
      <c r="J3197" s="1">
        <v>36.36</v>
      </c>
      <c r="K3197" t="s">
        <v>6</v>
      </c>
    </row>
    <row r="3198" spans="1:11">
      <c r="A3198" t="s">
        <v>3284</v>
      </c>
      <c r="B3198">
        <v>456252</v>
      </c>
      <c r="C3198" s="2" t="str">
        <f>"125"</f>
        <v>125</v>
      </c>
      <c r="D3198" t="s">
        <v>3300</v>
      </c>
      <c r="E3198" t="s">
        <v>4</v>
      </c>
      <c r="F3198">
        <v>26</v>
      </c>
      <c r="H3198" t="s">
        <v>5</v>
      </c>
      <c r="I3198" s="1">
        <v>60.03</v>
      </c>
      <c r="J3198" s="1">
        <v>60.03</v>
      </c>
      <c r="K3198" t="s">
        <v>6</v>
      </c>
    </row>
    <row r="3199" spans="1:11">
      <c r="A3199" t="s">
        <v>3284</v>
      </c>
      <c r="B3199">
        <v>388102</v>
      </c>
      <c r="C3199" s="2" t="str">
        <f>"126"</f>
        <v>126</v>
      </c>
      <c r="D3199" t="s">
        <v>3301</v>
      </c>
      <c r="E3199" t="s">
        <v>4</v>
      </c>
      <c r="F3199">
        <v>21.7</v>
      </c>
      <c r="H3199" t="s">
        <v>5</v>
      </c>
      <c r="I3199" s="1">
        <v>46.32</v>
      </c>
      <c r="J3199" s="1">
        <v>46.32</v>
      </c>
      <c r="K3199" t="s">
        <v>6</v>
      </c>
    </row>
    <row r="3200" spans="1:11">
      <c r="A3200" t="s">
        <v>3284</v>
      </c>
      <c r="B3200">
        <v>446314</v>
      </c>
      <c r="C3200" s="2" t="str">
        <f>"127"</f>
        <v>127</v>
      </c>
      <c r="D3200" t="s">
        <v>3302</v>
      </c>
      <c r="E3200" t="s">
        <v>4</v>
      </c>
      <c r="F3200">
        <v>23</v>
      </c>
      <c r="H3200" t="s">
        <v>5</v>
      </c>
      <c r="I3200" s="1">
        <v>58.29</v>
      </c>
      <c r="J3200" s="1">
        <v>58.29</v>
      </c>
      <c r="K3200" t="s">
        <v>6</v>
      </c>
    </row>
    <row r="3201" spans="1:11">
      <c r="A3201" t="s">
        <v>3284</v>
      </c>
      <c r="B3201">
        <v>388689</v>
      </c>
      <c r="C3201" s="2" t="str">
        <f>"128"</f>
        <v>128</v>
      </c>
      <c r="D3201" t="s">
        <v>3303</v>
      </c>
      <c r="E3201" t="s">
        <v>4</v>
      </c>
      <c r="F3201">
        <v>18.2</v>
      </c>
      <c r="H3201" t="s">
        <v>5</v>
      </c>
      <c r="I3201" s="1">
        <v>51.52</v>
      </c>
      <c r="J3201" s="1">
        <v>51.52</v>
      </c>
      <c r="K3201" t="s">
        <v>6</v>
      </c>
    </row>
    <row r="3202" spans="1:11">
      <c r="A3202" t="s">
        <v>3284</v>
      </c>
      <c r="B3202">
        <v>399411</v>
      </c>
      <c r="C3202" s="2" t="str">
        <f>"13"</f>
        <v>13</v>
      </c>
      <c r="D3202" t="s">
        <v>3304</v>
      </c>
      <c r="E3202" t="s">
        <v>4</v>
      </c>
      <c r="F3202">
        <v>23.9</v>
      </c>
      <c r="H3202" t="s">
        <v>5</v>
      </c>
      <c r="I3202" s="1">
        <v>64.06</v>
      </c>
      <c r="J3202" s="1">
        <v>64.06</v>
      </c>
      <c r="K3202" t="s">
        <v>6</v>
      </c>
    </row>
    <row r="3203" spans="1:11">
      <c r="A3203" t="s">
        <v>3284</v>
      </c>
      <c r="B3203">
        <v>390484</v>
      </c>
      <c r="C3203" s="2" t="str">
        <f>"131"</f>
        <v>131</v>
      </c>
      <c r="D3203" t="s">
        <v>3305</v>
      </c>
      <c r="E3203" t="s">
        <v>4</v>
      </c>
      <c r="F3203">
        <v>35.9</v>
      </c>
      <c r="H3203" t="s">
        <v>5</v>
      </c>
      <c r="I3203" s="1">
        <v>83.98</v>
      </c>
      <c r="J3203" s="1">
        <v>83.98</v>
      </c>
      <c r="K3203" t="s">
        <v>6</v>
      </c>
    </row>
    <row r="3204" spans="1:11">
      <c r="A3204" t="s">
        <v>3284</v>
      </c>
      <c r="B3204">
        <v>457012</v>
      </c>
      <c r="C3204" s="2" t="str">
        <f>"132"</f>
        <v>132</v>
      </c>
      <c r="D3204" t="s">
        <v>3306</v>
      </c>
      <c r="E3204" t="s">
        <v>4</v>
      </c>
      <c r="F3204">
        <v>23.4</v>
      </c>
      <c r="H3204" t="s">
        <v>5</v>
      </c>
      <c r="I3204" s="1">
        <v>56.56</v>
      </c>
      <c r="J3204" s="1">
        <v>56.56</v>
      </c>
      <c r="K3204" t="s">
        <v>6</v>
      </c>
    </row>
    <row r="3205" spans="1:11">
      <c r="A3205" t="s">
        <v>3284</v>
      </c>
      <c r="B3205">
        <v>388107</v>
      </c>
      <c r="C3205" s="2" t="str">
        <f>"133"</f>
        <v>133</v>
      </c>
      <c r="D3205" t="s">
        <v>3307</v>
      </c>
      <c r="E3205" t="s">
        <v>4</v>
      </c>
      <c r="F3205">
        <v>20.8</v>
      </c>
      <c r="H3205" t="s">
        <v>5</v>
      </c>
      <c r="I3205" s="1">
        <v>45.02</v>
      </c>
      <c r="J3205" s="1">
        <v>45.02</v>
      </c>
      <c r="K3205" t="s">
        <v>6</v>
      </c>
    </row>
    <row r="3206" spans="1:11">
      <c r="A3206" t="s">
        <v>3284</v>
      </c>
      <c r="B3206">
        <v>465016</v>
      </c>
      <c r="C3206" s="2" t="str">
        <f>"135"</f>
        <v>135</v>
      </c>
      <c r="D3206" t="s">
        <v>3308</v>
      </c>
      <c r="E3206" t="s">
        <v>4</v>
      </c>
      <c r="F3206">
        <v>22.5</v>
      </c>
      <c r="H3206" t="s">
        <v>5</v>
      </c>
      <c r="I3206" s="1">
        <v>55.99</v>
      </c>
      <c r="J3206" s="1">
        <v>55.99</v>
      </c>
      <c r="K3206" t="s">
        <v>6</v>
      </c>
    </row>
    <row r="3207" spans="1:11">
      <c r="A3207" t="s">
        <v>3284</v>
      </c>
      <c r="B3207">
        <v>369661</v>
      </c>
      <c r="C3207" s="2" t="str">
        <f>"139"</f>
        <v>139</v>
      </c>
      <c r="D3207" t="s">
        <v>3309</v>
      </c>
      <c r="E3207" t="s">
        <v>4</v>
      </c>
      <c r="F3207">
        <v>35.4</v>
      </c>
      <c r="H3207" t="s">
        <v>5</v>
      </c>
      <c r="I3207" s="1">
        <v>87.74</v>
      </c>
      <c r="J3207" s="1">
        <v>87.74</v>
      </c>
      <c r="K3207" t="s">
        <v>6</v>
      </c>
    </row>
    <row r="3208" spans="1:11">
      <c r="A3208" t="s">
        <v>3284</v>
      </c>
      <c r="B3208">
        <v>388101</v>
      </c>
      <c r="C3208" s="2" t="str">
        <f>"14"</f>
        <v>14</v>
      </c>
      <c r="D3208" t="s">
        <v>3310</v>
      </c>
      <c r="E3208" t="s">
        <v>4</v>
      </c>
      <c r="F3208">
        <v>27</v>
      </c>
      <c r="H3208" t="s">
        <v>5</v>
      </c>
      <c r="I3208" s="1">
        <v>71.86</v>
      </c>
      <c r="J3208" s="1">
        <v>71.86</v>
      </c>
      <c r="K3208" t="s">
        <v>6</v>
      </c>
    </row>
    <row r="3209" spans="1:11">
      <c r="A3209" t="s">
        <v>3284</v>
      </c>
      <c r="B3209">
        <v>435470</v>
      </c>
      <c r="C3209" s="2" t="str">
        <f>"14080020"</f>
        <v>14080020</v>
      </c>
      <c r="D3209" t="s">
        <v>3311</v>
      </c>
      <c r="E3209" t="s">
        <v>4</v>
      </c>
      <c r="F3209">
        <v>6.2</v>
      </c>
      <c r="H3209" t="s">
        <v>5</v>
      </c>
      <c r="I3209" s="1">
        <v>27.64</v>
      </c>
      <c r="J3209" s="1">
        <v>27.64</v>
      </c>
      <c r="K3209" t="s">
        <v>6</v>
      </c>
    </row>
    <row r="3210" spans="1:11">
      <c r="A3210" t="s">
        <v>3284</v>
      </c>
      <c r="B3210">
        <v>370475</v>
      </c>
      <c r="C3210" s="2" t="str">
        <f>"1451HT"</f>
        <v>1451HT</v>
      </c>
      <c r="D3210" t="s">
        <v>3312</v>
      </c>
      <c r="E3210" t="s">
        <v>4</v>
      </c>
      <c r="F3210">
        <v>21.6</v>
      </c>
      <c r="H3210" t="s">
        <v>5</v>
      </c>
      <c r="I3210" s="1">
        <v>85.71</v>
      </c>
      <c r="J3210" s="1">
        <v>85.71</v>
      </c>
      <c r="K3210" t="s">
        <v>6</v>
      </c>
    </row>
    <row r="3211" spans="1:11">
      <c r="A3211" t="s">
        <v>3284</v>
      </c>
      <c r="B3211">
        <v>428901</v>
      </c>
      <c r="C3211" s="2" t="str">
        <f>"1453HT"</f>
        <v>1453HT</v>
      </c>
      <c r="D3211" t="s">
        <v>3313</v>
      </c>
      <c r="E3211" t="s">
        <v>4</v>
      </c>
      <c r="F3211">
        <v>24.6</v>
      </c>
      <c r="H3211" t="s">
        <v>5</v>
      </c>
      <c r="I3211" s="1">
        <v>94.81</v>
      </c>
      <c r="J3211" s="1">
        <v>94.81</v>
      </c>
      <c r="K3211" t="s">
        <v>6</v>
      </c>
    </row>
    <row r="3212" spans="1:11">
      <c r="A3212" t="s">
        <v>3284</v>
      </c>
      <c r="B3212">
        <v>388111</v>
      </c>
      <c r="C3212" s="2" t="str">
        <f>"1454HT"</f>
        <v>1454HT</v>
      </c>
      <c r="D3212" t="s">
        <v>3314</v>
      </c>
      <c r="E3212" t="s">
        <v>4</v>
      </c>
      <c r="F3212">
        <v>20.8</v>
      </c>
      <c r="H3212" t="s">
        <v>5</v>
      </c>
      <c r="I3212" s="1">
        <v>80.95</v>
      </c>
      <c r="J3212" s="1">
        <v>80.95</v>
      </c>
      <c r="K3212" t="s">
        <v>6</v>
      </c>
    </row>
    <row r="3213" spans="1:11">
      <c r="A3213" t="s">
        <v>3284</v>
      </c>
      <c r="B3213">
        <v>369220</v>
      </c>
      <c r="C3213" s="2" t="str">
        <f>"14801HT"</f>
        <v>14801HT</v>
      </c>
      <c r="D3213" t="s">
        <v>3315</v>
      </c>
      <c r="E3213" t="s">
        <v>4</v>
      </c>
      <c r="F3213">
        <v>28.6</v>
      </c>
      <c r="H3213" t="s">
        <v>5</v>
      </c>
      <c r="I3213" s="1">
        <v>103.03</v>
      </c>
      <c r="J3213" s="1">
        <v>103.03</v>
      </c>
      <c r="K3213" t="s">
        <v>6</v>
      </c>
    </row>
    <row r="3214" spans="1:11">
      <c r="A3214" t="s">
        <v>3284</v>
      </c>
      <c r="B3214">
        <v>370174</v>
      </c>
      <c r="C3214" s="2" t="str">
        <f>"14806HT"</f>
        <v>14806HT</v>
      </c>
      <c r="D3214" t="s">
        <v>3316</v>
      </c>
      <c r="E3214" t="s">
        <v>4</v>
      </c>
      <c r="F3214">
        <v>24</v>
      </c>
      <c r="H3214" t="s">
        <v>5</v>
      </c>
      <c r="I3214" s="1">
        <v>97.4</v>
      </c>
      <c r="J3214" s="1">
        <v>97.4</v>
      </c>
      <c r="K3214" t="s">
        <v>6</v>
      </c>
    </row>
    <row r="3215" spans="1:11">
      <c r="A3215" t="s">
        <v>3284</v>
      </c>
      <c r="B3215">
        <v>370442</v>
      </c>
      <c r="C3215" s="2" t="str">
        <f>"149"</f>
        <v>149</v>
      </c>
      <c r="D3215" t="s">
        <v>3317</v>
      </c>
      <c r="E3215" t="s">
        <v>4</v>
      </c>
      <c r="F3215">
        <v>29</v>
      </c>
      <c r="H3215" t="s">
        <v>5</v>
      </c>
      <c r="I3215" s="1">
        <v>75.319999999999993</v>
      </c>
      <c r="J3215" s="1">
        <v>75.319999999999993</v>
      </c>
      <c r="K3215" t="s">
        <v>6</v>
      </c>
    </row>
    <row r="3216" spans="1:11">
      <c r="A3216" t="s">
        <v>3284</v>
      </c>
      <c r="B3216">
        <v>372438</v>
      </c>
      <c r="C3216" s="2" t="str">
        <f>"15"</f>
        <v>15</v>
      </c>
      <c r="D3216" t="s">
        <v>3318</v>
      </c>
      <c r="E3216" t="s">
        <v>4</v>
      </c>
      <c r="F3216">
        <v>38</v>
      </c>
      <c r="H3216" t="s">
        <v>5</v>
      </c>
      <c r="I3216" s="1">
        <v>90.04</v>
      </c>
      <c r="J3216" s="1">
        <v>90.04</v>
      </c>
      <c r="K3216" t="s">
        <v>6</v>
      </c>
    </row>
    <row r="3217" spans="1:11">
      <c r="A3217" t="s">
        <v>3284</v>
      </c>
      <c r="B3217">
        <v>370505</v>
      </c>
      <c r="C3217" s="2" t="str">
        <f>"151"</f>
        <v>151</v>
      </c>
      <c r="D3217" t="s">
        <v>3319</v>
      </c>
      <c r="E3217" t="s">
        <v>4</v>
      </c>
      <c r="F3217">
        <v>33</v>
      </c>
      <c r="H3217" t="s">
        <v>5</v>
      </c>
      <c r="I3217" s="1">
        <v>83.98</v>
      </c>
      <c r="J3217" s="1">
        <v>83.98</v>
      </c>
      <c r="K3217" t="s">
        <v>6</v>
      </c>
    </row>
    <row r="3218" spans="1:11">
      <c r="A3218" t="s">
        <v>3284</v>
      </c>
      <c r="B3218">
        <v>387219</v>
      </c>
      <c r="C3218" s="2" t="str">
        <f>"15141"</f>
        <v>15141</v>
      </c>
      <c r="D3218" t="s">
        <v>3320</v>
      </c>
      <c r="E3218" t="s">
        <v>4</v>
      </c>
      <c r="F3218">
        <v>30.7</v>
      </c>
      <c r="H3218" t="s">
        <v>5</v>
      </c>
      <c r="I3218" s="1">
        <v>36.090000000000003</v>
      </c>
      <c r="J3218" s="1">
        <v>36.090000000000003</v>
      </c>
      <c r="K3218" t="s">
        <v>6</v>
      </c>
    </row>
    <row r="3219" spans="1:11">
      <c r="A3219" t="s">
        <v>3284</v>
      </c>
      <c r="B3219">
        <v>411741</v>
      </c>
      <c r="C3219" s="2" t="str">
        <f>"15144"</f>
        <v>15144</v>
      </c>
      <c r="D3219" t="s">
        <v>3321</v>
      </c>
      <c r="E3219" t="s">
        <v>4</v>
      </c>
      <c r="F3219">
        <v>33.9</v>
      </c>
      <c r="H3219" t="s">
        <v>5</v>
      </c>
      <c r="I3219" s="1">
        <v>76.19</v>
      </c>
      <c r="J3219" s="1">
        <v>76.19</v>
      </c>
      <c r="K3219" t="s">
        <v>6</v>
      </c>
    </row>
    <row r="3220" spans="1:11">
      <c r="A3220" t="s">
        <v>3284</v>
      </c>
      <c r="B3220">
        <v>369184</v>
      </c>
      <c r="C3220" s="2" t="str">
        <f>"15231"</f>
        <v>15231</v>
      </c>
      <c r="D3220" t="s">
        <v>3322</v>
      </c>
      <c r="E3220" t="s">
        <v>4</v>
      </c>
      <c r="F3220">
        <v>30.2</v>
      </c>
      <c r="H3220" t="s">
        <v>5</v>
      </c>
      <c r="I3220" s="1">
        <v>82.68</v>
      </c>
      <c r="J3220" s="1">
        <v>82.68</v>
      </c>
      <c r="K3220" t="s">
        <v>6</v>
      </c>
    </row>
    <row r="3221" spans="1:11">
      <c r="A3221" t="s">
        <v>3284</v>
      </c>
      <c r="B3221">
        <v>369288</v>
      </c>
      <c r="C3221" s="2" t="str">
        <f>"15232"</f>
        <v>15232</v>
      </c>
      <c r="D3221" t="s">
        <v>3323</v>
      </c>
      <c r="E3221" t="s">
        <v>4</v>
      </c>
      <c r="F3221">
        <v>27</v>
      </c>
      <c r="H3221" t="s">
        <v>5</v>
      </c>
      <c r="I3221" s="1">
        <v>82.68</v>
      </c>
      <c r="J3221" s="1">
        <v>82.68</v>
      </c>
      <c r="K3221" t="s">
        <v>6</v>
      </c>
    </row>
    <row r="3222" spans="1:11">
      <c r="A3222" t="s">
        <v>3284</v>
      </c>
      <c r="B3222">
        <v>370160</v>
      </c>
      <c r="C3222" s="2" t="str">
        <f>"15233"</f>
        <v>15233</v>
      </c>
      <c r="D3222" t="s">
        <v>3324</v>
      </c>
      <c r="E3222" t="s">
        <v>4</v>
      </c>
      <c r="F3222">
        <v>32</v>
      </c>
      <c r="H3222" t="s">
        <v>5</v>
      </c>
      <c r="I3222" s="1">
        <v>98.27</v>
      </c>
      <c r="J3222" s="1">
        <v>98.27</v>
      </c>
      <c r="K3222" t="s">
        <v>6</v>
      </c>
    </row>
    <row r="3223" spans="1:11">
      <c r="A3223" t="s">
        <v>3284</v>
      </c>
      <c r="B3223">
        <v>369156</v>
      </c>
      <c r="C3223" s="2" t="str">
        <f>"15235"</f>
        <v>15235</v>
      </c>
      <c r="D3223" t="s">
        <v>3325</v>
      </c>
      <c r="E3223" t="s">
        <v>4</v>
      </c>
      <c r="F3223">
        <v>33.6</v>
      </c>
      <c r="H3223" t="s">
        <v>5</v>
      </c>
      <c r="I3223" s="1">
        <v>96.54</v>
      </c>
      <c r="J3223" s="1">
        <v>96.54</v>
      </c>
      <c r="K3223" t="s">
        <v>6</v>
      </c>
    </row>
    <row r="3224" spans="1:11">
      <c r="A3224" t="s">
        <v>3284</v>
      </c>
      <c r="B3224">
        <v>369171</v>
      </c>
      <c r="C3224" s="2" t="str">
        <f>"15236"</f>
        <v>15236</v>
      </c>
      <c r="D3224" t="s">
        <v>3326</v>
      </c>
      <c r="E3224" t="s">
        <v>4</v>
      </c>
      <c r="F3224">
        <v>33</v>
      </c>
      <c r="H3224" t="s">
        <v>5</v>
      </c>
      <c r="I3224" s="1">
        <v>82.68</v>
      </c>
      <c r="J3224" s="1">
        <v>82.68</v>
      </c>
      <c r="K3224" t="s">
        <v>6</v>
      </c>
    </row>
    <row r="3225" spans="1:11">
      <c r="A3225" t="s">
        <v>3284</v>
      </c>
      <c r="B3225">
        <v>368721</v>
      </c>
      <c r="C3225" s="2" t="str">
        <f>"15237"</f>
        <v>15237</v>
      </c>
      <c r="D3225" t="s">
        <v>3327</v>
      </c>
      <c r="E3225" t="s">
        <v>4</v>
      </c>
      <c r="F3225">
        <v>29.9</v>
      </c>
      <c r="H3225" t="s">
        <v>5</v>
      </c>
      <c r="I3225" s="1">
        <v>82.68</v>
      </c>
      <c r="J3225" s="1">
        <v>82.68</v>
      </c>
      <c r="K3225" t="s">
        <v>6</v>
      </c>
    </row>
    <row r="3226" spans="1:11">
      <c r="A3226" t="s">
        <v>3284</v>
      </c>
      <c r="B3226">
        <v>368799</v>
      </c>
      <c r="C3226" s="2" t="str">
        <f>"15238"</f>
        <v>15238</v>
      </c>
      <c r="D3226" t="s">
        <v>3328</v>
      </c>
      <c r="E3226" t="s">
        <v>4</v>
      </c>
      <c r="F3226">
        <v>36</v>
      </c>
      <c r="H3226" t="s">
        <v>5</v>
      </c>
      <c r="I3226" s="1">
        <v>82.68</v>
      </c>
      <c r="J3226" s="1">
        <v>82.68</v>
      </c>
      <c r="K3226" t="s">
        <v>6</v>
      </c>
    </row>
    <row r="3227" spans="1:11">
      <c r="A3227" t="s">
        <v>3284</v>
      </c>
      <c r="B3227">
        <v>369198</v>
      </c>
      <c r="C3227" s="2" t="str">
        <f>"15239"</f>
        <v>15239</v>
      </c>
      <c r="D3227" t="s">
        <v>3329</v>
      </c>
      <c r="E3227" t="s">
        <v>4</v>
      </c>
      <c r="F3227">
        <v>19</v>
      </c>
      <c r="H3227" t="s">
        <v>5</v>
      </c>
      <c r="I3227" s="1">
        <v>79.650000000000006</v>
      </c>
      <c r="J3227" s="1">
        <v>79.650000000000006</v>
      </c>
      <c r="K3227" t="s">
        <v>6</v>
      </c>
    </row>
    <row r="3228" spans="1:11">
      <c r="A3228" t="s">
        <v>3284</v>
      </c>
      <c r="B3228">
        <v>368708</v>
      </c>
      <c r="C3228" s="2" t="str">
        <f>"15240"</f>
        <v>15240</v>
      </c>
      <c r="D3228" t="s">
        <v>3330</v>
      </c>
      <c r="E3228" t="s">
        <v>4</v>
      </c>
      <c r="F3228">
        <v>29</v>
      </c>
      <c r="H3228" t="s">
        <v>5</v>
      </c>
      <c r="I3228" s="1">
        <v>71.42</v>
      </c>
      <c r="J3228" s="1">
        <v>71.42</v>
      </c>
      <c r="K3228" t="s">
        <v>6</v>
      </c>
    </row>
    <row r="3229" spans="1:11">
      <c r="A3229" t="s">
        <v>3284</v>
      </c>
      <c r="B3229">
        <v>369243</v>
      </c>
      <c r="C3229" s="2" t="str">
        <f>"15241"</f>
        <v>15241</v>
      </c>
      <c r="D3229" t="s">
        <v>3331</v>
      </c>
      <c r="E3229" t="s">
        <v>4</v>
      </c>
      <c r="F3229">
        <v>21</v>
      </c>
      <c r="H3229" t="s">
        <v>5</v>
      </c>
      <c r="I3229" s="1">
        <v>67.11</v>
      </c>
      <c r="J3229" s="1">
        <v>67.11</v>
      </c>
      <c r="K3229" t="s">
        <v>6</v>
      </c>
    </row>
    <row r="3230" spans="1:11">
      <c r="A3230" t="s">
        <v>3284</v>
      </c>
      <c r="B3230">
        <v>368715</v>
      </c>
      <c r="C3230" s="2" t="str">
        <f>"15242"</f>
        <v>15242</v>
      </c>
      <c r="D3230" t="s">
        <v>3332</v>
      </c>
      <c r="E3230" t="s">
        <v>4</v>
      </c>
      <c r="F3230">
        <v>24</v>
      </c>
      <c r="H3230" t="s">
        <v>5</v>
      </c>
      <c r="I3230" s="1">
        <v>71.42</v>
      </c>
      <c r="J3230" s="1">
        <v>71.42</v>
      </c>
      <c r="K3230" t="s">
        <v>6</v>
      </c>
    </row>
    <row r="3231" spans="1:11">
      <c r="A3231" t="s">
        <v>3284</v>
      </c>
      <c r="B3231">
        <v>368694</v>
      </c>
      <c r="C3231" s="2" t="str">
        <f>"15243"</f>
        <v>15243</v>
      </c>
      <c r="D3231" t="s">
        <v>3333</v>
      </c>
      <c r="E3231" t="s">
        <v>4</v>
      </c>
      <c r="F3231">
        <v>27</v>
      </c>
      <c r="H3231" t="s">
        <v>5</v>
      </c>
      <c r="I3231" s="1">
        <v>80.09</v>
      </c>
      <c r="J3231" s="1">
        <v>80.09</v>
      </c>
      <c r="K3231" t="s">
        <v>6</v>
      </c>
    </row>
    <row r="3232" spans="1:11">
      <c r="A3232" t="s">
        <v>3284</v>
      </c>
      <c r="B3232">
        <v>368798</v>
      </c>
      <c r="C3232" s="2" t="str">
        <f>"15244"</f>
        <v>15244</v>
      </c>
      <c r="D3232" t="s">
        <v>3334</v>
      </c>
      <c r="E3232" t="s">
        <v>4</v>
      </c>
      <c r="F3232">
        <v>35</v>
      </c>
      <c r="H3232" t="s">
        <v>5</v>
      </c>
      <c r="I3232" s="1">
        <v>91.78</v>
      </c>
      <c r="J3232" s="1">
        <v>91.78</v>
      </c>
      <c r="K3232" t="s">
        <v>6</v>
      </c>
    </row>
    <row r="3233" spans="1:11">
      <c r="A3233" t="s">
        <v>3284</v>
      </c>
      <c r="B3233">
        <v>371321</v>
      </c>
      <c r="C3233" s="2" t="str">
        <f>"15245"</f>
        <v>15245</v>
      </c>
      <c r="D3233" t="s">
        <v>3335</v>
      </c>
      <c r="E3233" t="s">
        <v>4</v>
      </c>
      <c r="F3233">
        <v>29</v>
      </c>
      <c r="H3233" t="s">
        <v>5</v>
      </c>
      <c r="I3233" s="1">
        <v>77.489999999999995</v>
      </c>
      <c r="J3233" s="1">
        <v>77.489999999999995</v>
      </c>
      <c r="K3233" t="s">
        <v>6</v>
      </c>
    </row>
    <row r="3234" spans="1:11">
      <c r="A3234" t="s">
        <v>3284</v>
      </c>
      <c r="B3234">
        <v>370267</v>
      </c>
      <c r="C3234" s="2" t="str">
        <f>"15246"</f>
        <v>15246</v>
      </c>
      <c r="D3234" t="s">
        <v>3336</v>
      </c>
      <c r="E3234" t="s">
        <v>4</v>
      </c>
      <c r="F3234">
        <v>30</v>
      </c>
      <c r="H3234" t="s">
        <v>5</v>
      </c>
      <c r="I3234" s="1">
        <v>159.74</v>
      </c>
      <c r="J3234" s="1">
        <v>159.74</v>
      </c>
      <c r="K3234" t="s">
        <v>6</v>
      </c>
    </row>
    <row r="3235" spans="1:11">
      <c r="A3235" t="s">
        <v>3284</v>
      </c>
      <c r="B3235">
        <v>368714</v>
      </c>
      <c r="C3235" s="2" t="str">
        <f>"15247"</f>
        <v>15247</v>
      </c>
      <c r="D3235" t="s">
        <v>3337</v>
      </c>
      <c r="E3235" t="s">
        <v>4</v>
      </c>
      <c r="F3235">
        <v>35</v>
      </c>
      <c r="H3235" t="s">
        <v>5</v>
      </c>
      <c r="I3235" s="1">
        <v>159.74</v>
      </c>
      <c r="J3235" s="1">
        <v>159.74</v>
      </c>
      <c r="K3235" t="s">
        <v>6</v>
      </c>
    </row>
    <row r="3236" spans="1:11">
      <c r="A3236" t="s">
        <v>3284</v>
      </c>
      <c r="B3236">
        <v>369240</v>
      </c>
      <c r="C3236" s="2" t="str">
        <f>"15248"</f>
        <v>15248</v>
      </c>
      <c r="D3236" t="s">
        <v>3338</v>
      </c>
      <c r="E3236" t="s">
        <v>4</v>
      </c>
      <c r="F3236">
        <v>20.5</v>
      </c>
      <c r="H3236" t="s">
        <v>5</v>
      </c>
      <c r="I3236" s="1">
        <v>58.45</v>
      </c>
      <c r="J3236" s="1">
        <v>58.45</v>
      </c>
      <c r="K3236" t="s">
        <v>6</v>
      </c>
    </row>
    <row r="3237" spans="1:11">
      <c r="A3237" t="s">
        <v>3284</v>
      </c>
      <c r="B3237">
        <v>369505</v>
      </c>
      <c r="C3237" s="2" t="str">
        <f>"15249"</f>
        <v>15249</v>
      </c>
      <c r="D3237" t="s">
        <v>3339</v>
      </c>
      <c r="E3237" t="s">
        <v>4</v>
      </c>
      <c r="F3237">
        <v>16</v>
      </c>
      <c r="H3237" t="s">
        <v>5</v>
      </c>
      <c r="I3237" s="1">
        <v>50.65</v>
      </c>
      <c r="J3237" s="1">
        <v>50.65</v>
      </c>
      <c r="K3237" t="s">
        <v>6</v>
      </c>
    </row>
    <row r="3238" spans="1:11">
      <c r="A3238" t="s">
        <v>3284</v>
      </c>
      <c r="B3238">
        <v>368697</v>
      </c>
      <c r="C3238" s="2" t="str">
        <f>"15253"</f>
        <v>15253</v>
      </c>
      <c r="D3238" t="s">
        <v>3340</v>
      </c>
      <c r="E3238" t="s">
        <v>4</v>
      </c>
      <c r="F3238">
        <v>39</v>
      </c>
      <c r="H3238" t="s">
        <v>5</v>
      </c>
      <c r="I3238" s="1">
        <v>90.62</v>
      </c>
      <c r="J3238" s="1">
        <v>90.62</v>
      </c>
      <c r="K3238" t="s">
        <v>6</v>
      </c>
    </row>
    <row r="3239" spans="1:11">
      <c r="A3239" t="s">
        <v>3284</v>
      </c>
      <c r="B3239">
        <v>388106</v>
      </c>
      <c r="C3239" s="2" t="str">
        <f>"15256"</f>
        <v>15256</v>
      </c>
      <c r="D3239" t="s">
        <v>3341</v>
      </c>
      <c r="E3239" t="s">
        <v>4</v>
      </c>
      <c r="F3239">
        <v>28.9</v>
      </c>
      <c r="H3239" t="s">
        <v>5</v>
      </c>
      <c r="I3239" s="1">
        <v>82.82</v>
      </c>
      <c r="J3239" s="1">
        <v>82.82</v>
      </c>
      <c r="K3239" t="s">
        <v>6</v>
      </c>
    </row>
    <row r="3240" spans="1:11">
      <c r="A3240" t="s">
        <v>3284</v>
      </c>
      <c r="B3240">
        <v>370188</v>
      </c>
      <c r="C3240" s="2" t="str">
        <f>"15411"</f>
        <v>15411</v>
      </c>
      <c r="D3240" t="s">
        <v>3342</v>
      </c>
      <c r="E3240" t="s">
        <v>4</v>
      </c>
      <c r="F3240">
        <v>26.58</v>
      </c>
      <c r="H3240" t="s">
        <v>5</v>
      </c>
      <c r="I3240" s="1">
        <v>94.81</v>
      </c>
      <c r="J3240" s="1">
        <v>94.81</v>
      </c>
      <c r="K3240" t="s">
        <v>6</v>
      </c>
    </row>
    <row r="3241" spans="1:11">
      <c r="A3241" t="s">
        <v>3284</v>
      </c>
      <c r="B3241">
        <v>369323</v>
      </c>
      <c r="C3241" s="2" t="str">
        <f>"15412"</f>
        <v>15412</v>
      </c>
      <c r="D3241" t="s">
        <v>3343</v>
      </c>
      <c r="E3241" t="s">
        <v>4</v>
      </c>
      <c r="F3241">
        <v>31.5</v>
      </c>
      <c r="H3241" t="s">
        <v>5</v>
      </c>
      <c r="I3241" s="1">
        <v>131.16999999999999</v>
      </c>
      <c r="J3241" s="1">
        <v>131.16999999999999</v>
      </c>
      <c r="K3241" t="s">
        <v>6</v>
      </c>
    </row>
    <row r="3242" spans="1:11">
      <c r="A3242" t="s">
        <v>3284</v>
      </c>
      <c r="B3242">
        <v>370532</v>
      </c>
      <c r="C3242" s="2" t="str">
        <f>"15427"</f>
        <v>15427</v>
      </c>
      <c r="D3242" t="s">
        <v>3344</v>
      </c>
      <c r="E3242" t="s">
        <v>4</v>
      </c>
      <c r="F3242">
        <v>29</v>
      </c>
      <c r="H3242" t="s">
        <v>5</v>
      </c>
      <c r="I3242" s="1">
        <v>114.28</v>
      </c>
      <c r="J3242" s="1">
        <v>114.28</v>
      </c>
      <c r="K3242" t="s">
        <v>6</v>
      </c>
    </row>
    <row r="3243" spans="1:11">
      <c r="A3243" t="s">
        <v>3284</v>
      </c>
      <c r="B3243">
        <v>389014</v>
      </c>
      <c r="C3243" s="2" t="str">
        <f>"15429"</f>
        <v>15429</v>
      </c>
      <c r="D3243" t="s">
        <v>3345</v>
      </c>
      <c r="E3243" t="s">
        <v>4</v>
      </c>
      <c r="F3243">
        <v>36.200000000000003</v>
      </c>
      <c r="H3243" t="s">
        <v>5</v>
      </c>
      <c r="I3243" s="1">
        <v>110.54</v>
      </c>
      <c r="J3243" s="1">
        <v>110.54</v>
      </c>
      <c r="K3243" t="s">
        <v>6</v>
      </c>
    </row>
    <row r="3244" spans="1:11">
      <c r="A3244" t="s">
        <v>3284</v>
      </c>
      <c r="B3244">
        <v>371342</v>
      </c>
      <c r="C3244" s="2" t="str">
        <f>"15430"</f>
        <v>15430</v>
      </c>
      <c r="D3244" t="s">
        <v>3346</v>
      </c>
      <c r="E3244" t="s">
        <v>4</v>
      </c>
      <c r="F3244">
        <v>26</v>
      </c>
      <c r="H3244" t="s">
        <v>5</v>
      </c>
      <c r="I3244" s="1">
        <v>89.61</v>
      </c>
      <c r="J3244" s="1">
        <v>89.61</v>
      </c>
      <c r="K3244" t="s">
        <v>6</v>
      </c>
    </row>
    <row r="3245" spans="1:11">
      <c r="A3245" t="s">
        <v>3284</v>
      </c>
      <c r="B3245">
        <v>370086</v>
      </c>
      <c r="C3245" s="2" t="str">
        <f>"15431"</f>
        <v>15431</v>
      </c>
      <c r="D3245" t="s">
        <v>3347</v>
      </c>
      <c r="E3245" t="s">
        <v>4</v>
      </c>
      <c r="F3245">
        <v>19</v>
      </c>
      <c r="H3245" t="s">
        <v>5</v>
      </c>
      <c r="I3245" s="1">
        <v>75.760000000000005</v>
      </c>
      <c r="J3245" s="1">
        <v>75.760000000000005</v>
      </c>
      <c r="K3245" t="s">
        <v>6</v>
      </c>
    </row>
    <row r="3246" spans="1:11">
      <c r="A3246" t="s">
        <v>3284</v>
      </c>
      <c r="B3246">
        <v>370425</v>
      </c>
      <c r="C3246" s="2" t="str">
        <f>"15432"</f>
        <v>15432</v>
      </c>
      <c r="D3246" t="s">
        <v>3348</v>
      </c>
      <c r="E3246" t="s">
        <v>4</v>
      </c>
      <c r="F3246">
        <v>18</v>
      </c>
      <c r="H3246" t="s">
        <v>5</v>
      </c>
      <c r="I3246" s="1">
        <v>81.38</v>
      </c>
      <c r="J3246" s="1">
        <v>81.38</v>
      </c>
      <c r="K3246" t="s">
        <v>6</v>
      </c>
    </row>
    <row r="3247" spans="1:11">
      <c r="A3247" t="s">
        <v>3284</v>
      </c>
      <c r="B3247">
        <v>370381</v>
      </c>
      <c r="C3247" s="2" t="str">
        <f>"15433"</f>
        <v>15433</v>
      </c>
      <c r="D3247" t="s">
        <v>3349</v>
      </c>
      <c r="E3247" t="s">
        <v>4</v>
      </c>
      <c r="F3247">
        <v>20</v>
      </c>
      <c r="H3247" t="s">
        <v>5</v>
      </c>
      <c r="I3247" s="1">
        <v>89.61</v>
      </c>
      <c r="J3247" s="1">
        <v>89.61</v>
      </c>
      <c r="K3247" t="s">
        <v>6</v>
      </c>
    </row>
    <row r="3248" spans="1:11">
      <c r="A3248" t="s">
        <v>3284</v>
      </c>
      <c r="B3248">
        <v>369429</v>
      </c>
      <c r="C3248" s="2" t="str">
        <f>"15434"</f>
        <v>15434</v>
      </c>
      <c r="D3248" t="s">
        <v>3350</v>
      </c>
      <c r="E3248" t="s">
        <v>4</v>
      </c>
      <c r="F3248">
        <v>24</v>
      </c>
      <c r="H3248" t="s">
        <v>5</v>
      </c>
      <c r="I3248" s="1">
        <v>89.61</v>
      </c>
      <c r="J3248" s="1">
        <v>89.61</v>
      </c>
      <c r="K3248" t="s">
        <v>6</v>
      </c>
    </row>
    <row r="3249" spans="1:11">
      <c r="A3249" t="s">
        <v>3284</v>
      </c>
      <c r="B3249">
        <v>369674</v>
      </c>
      <c r="C3249" s="2" t="str">
        <f>"15435"</f>
        <v>15435</v>
      </c>
      <c r="D3249" t="s">
        <v>3351</v>
      </c>
      <c r="E3249" t="s">
        <v>4</v>
      </c>
      <c r="F3249">
        <v>29</v>
      </c>
      <c r="H3249" t="s">
        <v>5</v>
      </c>
      <c r="I3249" s="1">
        <v>98.27</v>
      </c>
      <c r="J3249" s="1">
        <v>98.27</v>
      </c>
      <c r="K3249" t="s">
        <v>6</v>
      </c>
    </row>
    <row r="3250" spans="1:11">
      <c r="A3250" t="s">
        <v>3284</v>
      </c>
      <c r="B3250">
        <v>369190</v>
      </c>
      <c r="C3250" s="2" t="str">
        <f>"15436"</f>
        <v>15436</v>
      </c>
      <c r="D3250" t="s">
        <v>3352</v>
      </c>
      <c r="E3250" t="s">
        <v>4</v>
      </c>
      <c r="F3250">
        <v>25.8</v>
      </c>
      <c r="H3250" t="s">
        <v>5</v>
      </c>
      <c r="I3250" s="1">
        <v>103.03</v>
      </c>
      <c r="J3250" s="1">
        <v>103.03</v>
      </c>
      <c r="K3250" t="s">
        <v>6</v>
      </c>
    </row>
    <row r="3251" spans="1:11">
      <c r="A3251" t="s">
        <v>3284</v>
      </c>
      <c r="B3251">
        <v>369225</v>
      </c>
      <c r="C3251" s="2" t="str">
        <f>"15437"</f>
        <v>15437</v>
      </c>
      <c r="D3251" t="s">
        <v>3353</v>
      </c>
      <c r="E3251" t="s">
        <v>4</v>
      </c>
      <c r="F3251">
        <v>28</v>
      </c>
      <c r="H3251" t="s">
        <v>5</v>
      </c>
      <c r="I3251" s="1">
        <v>112.13</v>
      </c>
      <c r="J3251" s="1">
        <v>112.13</v>
      </c>
      <c r="K3251" t="s">
        <v>6</v>
      </c>
    </row>
    <row r="3252" spans="1:11">
      <c r="A3252" t="s">
        <v>3284</v>
      </c>
      <c r="B3252">
        <v>369432</v>
      </c>
      <c r="C3252" s="2" t="str">
        <f>"15445"</f>
        <v>15445</v>
      </c>
      <c r="D3252" t="s">
        <v>3354</v>
      </c>
      <c r="E3252" t="s">
        <v>4</v>
      </c>
      <c r="F3252">
        <v>4.7</v>
      </c>
      <c r="H3252" t="s">
        <v>5</v>
      </c>
      <c r="I3252" s="1">
        <v>43.29</v>
      </c>
      <c r="J3252" s="1">
        <v>43.29</v>
      </c>
      <c r="K3252" t="s">
        <v>6</v>
      </c>
    </row>
    <row r="3253" spans="1:11">
      <c r="A3253" t="s">
        <v>3284</v>
      </c>
      <c r="B3253">
        <v>369260</v>
      </c>
      <c r="C3253" s="2" t="str">
        <f>"15446"</f>
        <v>15446</v>
      </c>
      <c r="D3253" t="s">
        <v>3355</v>
      </c>
      <c r="E3253" t="s">
        <v>4</v>
      </c>
      <c r="F3253">
        <v>7.8</v>
      </c>
      <c r="H3253" t="s">
        <v>5</v>
      </c>
      <c r="I3253" s="1">
        <v>55.85</v>
      </c>
      <c r="J3253" s="1">
        <v>55.85</v>
      </c>
      <c r="K3253" t="s">
        <v>6</v>
      </c>
    </row>
    <row r="3254" spans="1:11">
      <c r="A3254" t="s">
        <v>3284</v>
      </c>
      <c r="B3254">
        <v>369553</v>
      </c>
      <c r="C3254" s="2" t="str">
        <f>"15451"</f>
        <v>15451</v>
      </c>
      <c r="D3254" t="s">
        <v>3356</v>
      </c>
      <c r="E3254" t="s">
        <v>4</v>
      </c>
      <c r="F3254">
        <v>19</v>
      </c>
      <c r="H3254" t="s">
        <v>5</v>
      </c>
      <c r="I3254" s="1">
        <v>76.62</v>
      </c>
      <c r="J3254" s="1">
        <v>76.62</v>
      </c>
      <c r="K3254" t="s">
        <v>6</v>
      </c>
    </row>
    <row r="3255" spans="1:11">
      <c r="A3255" t="s">
        <v>3284</v>
      </c>
      <c r="B3255">
        <v>369508</v>
      </c>
      <c r="C3255" s="2" t="str">
        <f>"15453"</f>
        <v>15453</v>
      </c>
      <c r="D3255" t="s">
        <v>3357</v>
      </c>
      <c r="E3255" t="s">
        <v>4</v>
      </c>
      <c r="F3255">
        <v>21</v>
      </c>
      <c r="H3255" t="s">
        <v>5</v>
      </c>
      <c r="I3255" s="1">
        <v>74.459999999999994</v>
      </c>
      <c r="J3255" s="1">
        <v>74.459999999999994</v>
      </c>
      <c r="K3255" t="s">
        <v>6</v>
      </c>
    </row>
    <row r="3256" spans="1:11">
      <c r="A3256" t="s">
        <v>3284</v>
      </c>
      <c r="B3256">
        <v>369174</v>
      </c>
      <c r="C3256" s="2" t="str">
        <f>"15454"</f>
        <v>15454</v>
      </c>
      <c r="D3256" t="s">
        <v>3358</v>
      </c>
      <c r="E3256" t="s">
        <v>4</v>
      </c>
      <c r="F3256">
        <v>21</v>
      </c>
      <c r="H3256" t="s">
        <v>5</v>
      </c>
      <c r="I3256" s="1">
        <v>83.98</v>
      </c>
      <c r="J3256" s="1">
        <v>83.98</v>
      </c>
      <c r="K3256" t="s">
        <v>6</v>
      </c>
    </row>
    <row r="3257" spans="1:11">
      <c r="A3257" t="s">
        <v>3284</v>
      </c>
      <c r="B3257">
        <v>369285</v>
      </c>
      <c r="C3257" s="2" t="str">
        <f>"15456"</f>
        <v>15456</v>
      </c>
      <c r="D3257" t="s">
        <v>3359</v>
      </c>
      <c r="E3257" t="s">
        <v>4</v>
      </c>
      <c r="F3257">
        <v>22.5</v>
      </c>
      <c r="H3257" t="s">
        <v>5</v>
      </c>
      <c r="I3257" s="1">
        <v>83.98</v>
      </c>
      <c r="J3257" s="1">
        <v>83.98</v>
      </c>
      <c r="K3257" t="s">
        <v>6</v>
      </c>
    </row>
    <row r="3258" spans="1:11">
      <c r="A3258" t="s">
        <v>3284</v>
      </c>
      <c r="B3258">
        <v>369231</v>
      </c>
      <c r="C3258" s="2" t="str">
        <f>"15457"</f>
        <v>15457</v>
      </c>
      <c r="D3258" t="s">
        <v>3360</v>
      </c>
      <c r="E3258" t="s">
        <v>4</v>
      </c>
      <c r="F3258">
        <v>23</v>
      </c>
      <c r="H3258" t="s">
        <v>5</v>
      </c>
      <c r="I3258" s="1">
        <v>97.84</v>
      </c>
      <c r="J3258" s="1">
        <v>97.84</v>
      </c>
      <c r="K3258" t="s">
        <v>6</v>
      </c>
    </row>
    <row r="3259" spans="1:11">
      <c r="A3259" t="s">
        <v>3284</v>
      </c>
      <c r="B3259">
        <v>368699</v>
      </c>
      <c r="C3259" s="2" t="str">
        <f>"15458"</f>
        <v>15458</v>
      </c>
      <c r="D3259" t="s">
        <v>3361</v>
      </c>
      <c r="E3259" t="s">
        <v>4</v>
      </c>
      <c r="F3259">
        <v>25.1</v>
      </c>
      <c r="H3259" t="s">
        <v>5</v>
      </c>
      <c r="I3259" s="1">
        <v>109.53</v>
      </c>
      <c r="J3259" s="1">
        <v>109.53</v>
      </c>
      <c r="K3259" t="s">
        <v>6</v>
      </c>
    </row>
    <row r="3260" spans="1:11">
      <c r="A3260" t="s">
        <v>3284</v>
      </c>
      <c r="B3260">
        <v>369467</v>
      </c>
      <c r="C3260" s="2" t="str">
        <f>"15459"</f>
        <v>15459</v>
      </c>
      <c r="D3260" t="s">
        <v>3362</v>
      </c>
      <c r="E3260" t="s">
        <v>4</v>
      </c>
      <c r="F3260">
        <v>35</v>
      </c>
      <c r="H3260" t="s">
        <v>5</v>
      </c>
      <c r="I3260" s="1">
        <v>141.56</v>
      </c>
      <c r="J3260" s="1">
        <v>141.56</v>
      </c>
      <c r="K3260" t="s">
        <v>6</v>
      </c>
    </row>
    <row r="3261" spans="1:11">
      <c r="A3261" t="s">
        <v>3284</v>
      </c>
      <c r="B3261">
        <v>370391</v>
      </c>
      <c r="C3261" s="2" t="str">
        <f>"15463"</f>
        <v>15463</v>
      </c>
      <c r="D3261" t="s">
        <v>3363</v>
      </c>
      <c r="E3261" t="s">
        <v>4</v>
      </c>
      <c r="F3261">
        <v>25</v>
      </c>
      <c r="H3261" t="s">
        <v>5</v>
      </c>
      <c r="I3261" s="1">
        <v>182.69</v>
      </c>
      <c r="J3261" s="1">
        <v>182.69</v>
      </c>
      <c r="K3261" t="s">
        <v>6</v>
      </c>
    </row>
    <row r="3262" spans="1:11">
      <c r="A3262" t="s">
        <v>3284</v>
      </c>
      <c r="B3262">
        <v>370169</v>
      </c>
      <c r="C3262" s="2" t="str">
        <f>"15464"</f>
        <v>15464</v>
      </c>
      <c r="D3262" t="s">
        <v>3364</v>
      </c>
      <c r="E3262" t="s">
        <v>4</v>
      </c>
      <c r="F3262">
        <v>26</v>
      </c>
      <c r="H3262" t="s">
        <v>5</v>
      </c>
      <c r="I3262" s="1">
        <v>182.69</v>
      </c>
      <c r="J3262" s="1">
        <v>182.69</v>
      </c>
      <c r="K3262" t="s">
        <v>6</v>
      </c>
    </row>
    <row r="3263" spans="1:11">
      <c r="A3263" t="s">
        <v>3284</v>
      </c>
      <c r="B3263">
        <v>368665</v>
      </c>
      <c r="C3263" s="2" t="str">
        <f>"15465"</f>
        <v>15465</v>
      </c>
      <c r="D3263" t="s">
        <v>3365</v>
      </c>
      <c r="E3263" t="s">
        <v>4</v>
      </c>
      <c r="F3263">
        <v>35</v>
      </c>
      <c r="H3263" t="s">
        <v>5</v>
      </c>
      <c r="I3263" s="1">
        <v>182.69</v>
      </c>
      <c r="J3263" s="1">
        <v>182.69</v>
      </c>
      <c r="K3263" t="s">
        <v>6</v>
      </c>
    </row>
    <row r="3264" spans="1:11">
      <c r="A3264" t="s">
        <v>3284</v>
      </c>
      <c r="B3264">
        <v>388112</v>
      </c>
      <c r="C3264" s="2" t="str">
        <f>"15477"</f>
        <v>15477</v>
      </c>
      <c r="D3264" t="s">
        <v>3366</v>
      </c>
      <c r="E3264" t="s">
        <v>4</v>
      </c>
      <c r="F3264">
        <v>29.2</v>
      </c>
      <c r="H3264" t="s">
        <v>5</v>
      </c>
      <c r="I3264" s="1">
        <v>86.01</v>
      </c>
      <c r="J3264" s="1">
        <v>86.01</v>
      </c>
      <c r="K3264" t="s">
        <v>6</v>
      </c>
    </row>
    <row r="3265" spans="1:11">
      <c r="A3265" t="s">
        <v>3284</v>
      </c>
      <c r="B3265">
        <v>370358</v>
      </c>
      <c r="C3265" s="2" t="str">
        <f>"15478"</f>
        <v>15478</v>
      </c>
      <c r="D3265" t="s">
        <v>3367</v>
      </c>
      <c r="E3265" t="s">
        <v>4</v>
      </c>
      <c r="F3265">
        <v>34</v>
      </c>
      <c r="H3265" t="s">
        <v>5</v>
      </c>
      <c r="I3265" s="1">
        <v>90.48</v>
      </c>
      <c r="J3265" s="1">
        <v>90.48</v>
      </c>
      <c r="K3265" t="s">
        <v>6</v>
      </c>
    </row>
    <row r="3266" spans="1:11">
      <c r="A3266" t="s">
        <v>3284</v>
      </c>
      <c r="B3266">
        <v>370369</v>
      </c>
      <c r="C3266" s="2" t="str">
        <f>"15479"</f>
        <v>15479</v>
      </c>
      <c r="D3266" t="s">
        <v>3368</v>
      </c>
      <c r="E3266" t="s">
        <v>4</v>
      </c>
      <c r="F3266">
        <v>42</v>
      </c>
      <c r="H3266" t="s">
        <v>5</v>
      </c>
      <c r="I3266" s="1">
        <v>100.87</v>
      </c>
      <c r="J3266" s="1">
        <v>100.87</v>
      </c>
      <c r="K3266" t="s">
        <v>6</v>
      </c>
    </row>
    <row r="3267" spans="1:11">
      <c r="A3267" t="s">
        <v>3284</v>
      </c>
      <c r="B3267">
        <v>451027</v>
      </c>
      <c r="C3267" s="2" t="str">
        <f>"15480"</f>
        <v>15480</v>
      </c>
      <c r="D3267" t="s">
        <v>3369</v>
      </c>
      <c r="E3267" t="s">
        <v>4</v>
      </c>
      <c r="F3267">
        <v>17.899999999999999</v>
      </c>
      <c r="H3267" t="s">
        <v>5</v>
      </c>
      <c r="I3267" s="1">
        <v>53.96</v>
      </c>
      <c r="J3267" s="1">
        <v>53.96</v>
      </c>
      <c r="K3267" t="s">
        <v>6</v>
      </c>
    </row>
    <row r="3268" spans="1:11">
      <c r="A3268" t="s">
        <v>3284</v>
      </c>
      <c r="B3268">
        <v>369341</v>
      </c>
      <c r="C3268" s="2" t="str">
        <f>"15481"</f>
        <v>15481</v>
      </c>
      <c r="D3268" t="s">
        <v>3370</v>
      </c>
      <c r="E3268" t="s">
        <v>4</v>
      </c>
      <c r="F3268">
        <v>34</v>
      </c>
      <c r="H3268" t="s">
        <v>5</v>
      </c>
      <c r="I3268" s="1">
        <v>85.71</v>
      </c>
      <c r="J3268" s="1">
        <v>85.71</v>
      </c>
      <c r="K3268" t="s">
        <v>6</v>
      </c>
    </row>
    <row r="3269" spans="1:11">
      <c r="A3269" t="s">
        <v>3284</v>
      </c>
      <c r="B3269">
        <v>455744</v>
      </c>
      <c r="C3269" s="2" t="str">
        <f>"15482"</f>
        <v>15482</v>
      </c>
      <c r="D3269" t="s">
        <v>3371</v>
      </c>
      <c r="E3269" t="s">
        <v>4</v>
      </c>
      <c r="F3269">
        <v>27.8</v>
      </c>
      <c r="H3269" t="s">
        <v>5</v>
      </c>
      <c r="I3269" s="1">
        <v>65.510000000000005</v>
      </c>
      <c r="J3269" s="1">
        <v>65.510000000000005</v>
      </c>
      <c r="K3269" t="s">
        <v>6</v>
      </c>
    </row>
    <row r="3270" spans="1:11">
      <c r="A3270" t="s">
        <v>3284</v>
      </c>
      <c r="B3270">
        <v>369169</v>
      </c>
      <c r="C3270" s="2" t="str">
        <f>"15483"</f>
        <v>15483</v>
      </c>
      <c r="D3270" t="s">
        <v>3372</v>
      </c>
      <c r="E3270" t="s">
        <v>4</v>
      </c>
      <c r="F3270">
        <v>34.299999999999997</v>
      </c>
      <c r="H3270" t="s">
        <v>5</v>
      </c>
      <c r="I3270" s="1">
        <v>100.87</v>
      </c>
      <c r="J3270" s="1">
        <v>100.87</v>
      </c>
      <c r="K3270" t="s">
        <v>6</v>
      </c>
    </row>
    <row r="3271" spans="1:11">
      <c r="A3271" t="s">
        <v>3284</v>
      </c>
      <c r="B3271">
        <v>370601</v>
      </c>
      <c r="C3271" s="2" t="str">
        <f>"15485"</f>
        <v>15485</v>
      </c>
      <c r="D3271" t="s">
        <v>3373</v>
      </c>
      <c r="E3271" t="s">
        <v>4</v>
      </c>
      <c r="F3271">
        <v>28.8</v>
      </c>
      <c r="H3271" t="s">
        <v>5</v>
      </c>
      <c r="I3271" s="1">
        <v>85.71</v>
      </c>
      <c r="J3271" s="1">
        <v>85.71</v>
      </c>
      <c r="K3271" t="s">
        <v>6</v>
      </c>
    </row>
    <row r="3272" spans="1:11">
      <c r="A3272" t="s">
        <v>3284</v>
      </c>
      <c r="B3272">
        <v>370511</v>
      </c>
      <c r="C3272" s="2" t="str">
        <f>"155"</f>
        <v>155</v>
      </c>
      <c r="D3272" t="s">
        <v>3374</v>
      </c>
      <c r="E3272" t="s">
        <v>4</v>
      </c>
      <c r="F3272">
        <v>10</v>
      </c>
      <c r="H3272" t="s">
        <v>5</v>
      </c>
      <c r="I3272" s="1">
        <v>45.02</v>
      </c>
      <c r="J3272" s="1">
        <v>45.02</v>
      </c>
      <c r="K3272" t="s">
        <v>6</v>
      </c>
    </row>
    <row r="3273" spans="1:11">
      <c r="A3273" t="s">
        <v>3284</v>
      </c>
      <c r="B3273">
        <v>370395</v>
      </c>
      <c r="C3273" s="2" t="str">
        <f>"15500"</f>
        <v>15500</v>
      </c>
      <c r="D3273" t="s">
        <v>3375</v>
      </c>
      <c r="E3273" t="s">
        <v>4</v>
      </c>
      <c r="F3273">
        <v>27.36</v>
      </c>
      <c r="H3273" t="s">
        <v>5</v>
      </c>
      <c r="I3273" s="1">
        <v>119.91</v>
      </c>
      <c r="J3273" s="1">
        <v>119.91</v>
      </c>
      <c r="K3273" t="s">
        <v>6</v>
      </c>
    </row>
    <row r="3274" spans="1:11">
      <c r="A3274" t="s">
        <v>3284</v>
      </c>
      <c r="B3274">
        <v>369517</v>
      </c>
      <c r="C3274" s="2" t="str">
        <f>"15506"</f>
        <v>15506</v>
      </c>
      <c r="D3274" t="s">
        <v>3376</v>
      </c>
      <c r="E3274" t="s">
        <v>4</v>
      </c>
      <c r="F3274">
        <v>27.6</v>
      </c>
      <c r="H3274" t="s">
        <v>5</v>
      </c>
      <c r="I3274" s="1">
        <v>119.91</v>
      </c>
      <c r="J3274" s="1">
        <v>119.91</v>
      </c>
      <c r="K3274" t="s">
        <v>6</v>
      </c>
    </row>
    <row r="3275" spans="1:11">
      <c r="A3275" t="s">
        <v>3284</v>
      </c>
      <c r="B3275">
        <v>411731</v>
      </c>
      <c r="C3275" s="2" t="str">
        <f>"15585"</f>
        <v>15585</v>
      </c>
      <c r="D3275" t="s">
        <v>3377</v>
      </c>
      <c r="E3275" t="s">
        <v>4</v>
      </c>
      <c r="F3275">
        <v>17.2</v>
      </c>
      <c r="H3275" t="s">
        <v>5</v>
      </c>
      <c r="I3275" s="1">
        <v>45.02</v>
      </c>
      <c r="J3275" s="1">
        <v>45.02</v>
      </c>
      <c r="K3275" t="s">
        <v>6</v>
      </c>
    </row>
    <row r="3276" spans="1:11">
      <c r="A3276" t="s">
        <v>3284</v>
      </c>
      <c r="B3276">
        <v>411749</v>
      </c>
      <c r="C3276" s="2" t="str">
        <f>"15587"</f>
        <v>15587</v>
      </c>
      <c r="D3276" t="s">
        <v>3378</v>
      </c>
      <c r="E3276" t="s">
        <v>4</v>
      </c>
      <c r="F3276">
        <v>16.5</v>
      </c>
      <c r="H3276" t="s">
        <v>5</v>
      </c>
      <c r="I3276" s="1">
        <v>54.55</v>
      </c>
      <c r="J3276" s="1">
        <v>54.55</v>
      </c>
      <c r="K3276" t="s">
        <v>6</v>
      </c>
    </row>
    <row r="3277" spans="1:11">
      <c r="A3277" t="s">
        <v>3284</v>
      </c>
      <c r="B3277">
        <v>411733</v>
      </c>
      <c r="C3277" s="2" t="str">
        <f>"15588"</f>
        <v>15588</v>
      </c>
      <c r="D3277" t="s">
        <v>3379</v>
      </c>
      <c r="E3277" t="s">
        <v>4</v>
      </c>
      <c r="F3277">
        <v>19.100000000000001</v>
      </c>
      <c r="H3277" t="s">
        <v>5</v>
      </c>
      <c r="I3277" s="1">
        <v>50.51</v>
      </c>
      <c r="J3277" s="1">
        <v>50.51</v>
      </c>
      <c r="K3277" t="s">
        <v>6</v>
      </c>
    </row>
    <row r="3278" spans="1:11">
      <c r="A3278" t="s">
        <v>3284</v>
      </c>
      <c r="B3278">
        <v>370270</v>
      </c>
      <c r="C3278" s="2" t="str">
        <f>"15603"</f>
        <v>15603</v>
      </c>
      <c r="D3278" t="s">
        <v>3380</v>
      </c>
      <c r="E3278" t="s">
        <v>4</v>
      </c>
      <c r="F3278">
        <v>35</v>
      </c>
      <c r="H3278" t="s">
        <v>5</v>
      </c>
      <c r="I3278" s="1">
        <v>100.87</v>
      </c>
      <c r="J3278" s="1">
        <v>100.87</v>
      </c>
      <c r="K3278" t="s">
        <v>6</v>
      </c>
    </row>
    <row r="3279" spans="1:11">
      <c r="A3279" t="s">
        <v>3284</v>
      </c>
      <c r="B3279">
        <v>388100</v>
      </c>
      <c r="C3279" s="2" t="str">
        <f>"15605"</f>
        <v>15605</v>
      </c>
      <c r="D3279" t="s">
        <v>3381</v>
      </c>
      <c r="E3279" t="s">
        <v>4</v>
      </c>
      <c r="F3279">
        <v>28.6</v>
      </c>
      <c r="H3279" t="s">
        <v>5</v>
      </c>
      <c r="I3279" s="1">
        <v>86.01</v>
      </c>
      <c r="J3279" s="1">
        <v>86.01</v>
      </c>
      <c r="K3279" t="s">
        <v>6</v>
      </c>
    </row>
    <row r="3280" spans="1:11">
      <c r="A3280" t="s">
        <v>3284</v>
      </c>
      <c r="B3280">
        <v>370223</v>
      </c>
      <c r="C3280" s="2" t="str">
        <f>"15640"</f>
        <v>15640</v>
      </c>
      <c r="D3280" t="s">
        <v>3382</v>
      </c>
      <c r="E3280" t="s">
        <v>4</v>
      </c>
      <c r="F3280">
        <v>20.7</v>
      </c>
      <c r="H3280" t="s">
        <v>5</v>
      </c>
      <c r="I3280" s="1">
        <v>65.81</v>
      </c>
      <c r="J3280" s="1">
        <v>65.81</v>
      </c>
      <c r="K3280" t="s">
        <v>6</v>
      </c>
    </row>
    <row r="3281" spans="1:11">
      <c r="A3281" t="s">
        <v>3284</v>
      </c>
      <c r="B3281">
        <v>370427</v>
      </c>
      <c r="C3281" s="2" t="str">
        <f>"15641"</f>
        <v>15641</v>
      </c>
      <c r="D3281" t="s">
        <v>3383</v>
      </c>
      <c r="E3281" t="s">
        <v>4</v>
      </c>
      <c r="F3281">
        <v>30</v>
      </c>
      <c r="H3281" t="s">
        <v>5</v>
      </c>
      <c r="I3281" s="1">
        <v>83.12</v>
      </c>
      <c r="J3281" s="1">
        <v>83.12</v>
      </c>
      <c r="K3281" t="s">
        <v>6</v>
      </c>
    </row>
    <row r="3282" spans="1:11">
      <c r="A3282" t="s">
        <v>3284</v>
      </c>
      <c r="B3282">
        <v>370179</v>
      </c>
      <c r="C3282" s="2" t="str">
        <f>"15642"</f>
        <v>15642</v>
      </c>
      <c r="D3282" t="s">
        <v>3384</v>
      </c>
      <c r="E3282" t="s">
        <v>4</v>
      </c>
      <c r="F3282">
        <v>33</v>
      </c>
      <c r="H3282" t="s">
        <v>5</v>
      </c>
      <c r="I3282" s="1">
        <v>107.35</v>
      </c>
      <c r="J3282" s="1">
        <v>107.35</v>
      </c>
      <c r="K3282" t="s">
        <v>6</v>
      </c>
    </row>
    <row r="3283" spans="1:11">
      <c r="A3283" t="s">
        <v>3284</v>
      </c>
      <c r="B3283">
        <v>369560</v>
      </c>
      <c r="C3283" s="2" t="str">
        <f>"15643"</f>
        <v>15643</v>
      </c>
      <c r="D3283" t="s">
        <v>3385</v>
      </c>
      <c r="E3283" t="s">
        <v>4</v>
      </c>
      <c r="F3283">
        <v>32</v>
      </c>
      <c r="H3283" t="s">
        <v>5</v>
      </c>
      <c r="I3283" s="1">
        <v>79.650000000000006</v>
      </c>
      <c r="J3283" s="1">
        <v>79.650000000000006</v>
      </c>
      <c r="K3283" t="s">
        <v>6</v>
      </c>
    </row>
    <row r="3284" spans="1:11">
      <c r="A3284" t="s">
        <v>3284</v>
      </c>
      <c r="B3284">
        <v>426122</v>
      </c>
      <c r="C3284" s="2" t="str">
        <f>"15646"</f>
        <v>15646</v>
      </c>
      <c r="D3284" t="s">
        <v>3386</v>
      </c>
      <c r="E3284" t="s">
        <v>4</v>
      </c>
      <c r="F3284">
        <v>14.7</v>
      </c>
      <c r="H3284" t="s">
        <v>5</v>
      </c>
      <c r="I3284" s="1">
        <v>37.090000000000003</v>
      </c>
      <c r="J3284" s="1">
        <v>37.090000000000003</v>
      </c>
      <c r="K3284" t="s">
        <v>6</v>
      </c>
    </row>
    <row r="3285" spans="1:11">
      <c r="A3285" t="s">
        <v>3284</v>
      </c>
      <c r="B3285">
        <v>369608</v>
      </c>
      <c r="C3285" s="2" t="str">
        <f>"15651"</f>
        <v>15651</v>
      </c>
      <c r="D3285" t="s">
        <v>3387</v>
      </c>
      <c r="E3285" t="s">
        <v>4</v>
      </c>
      <c r="F3285">
        <v>37</v>
      </c>
      <c r="H3285" t="s">
        <v>5</v>
      </c>
      <c r="I3285" s="1">
        <v>144.16</v>
      </c>
      <c r="J3285" s="1">
        <v>144.16</v>
      </c>
      <c r="K3285" t="s">
        <v>6</v>
      </c>
    </row>
    <row r="3286" spans="1:11">
      <c r="A3286" t="s">
        <v>3284</v>
      </c>
      <c r="B3286">
        <v>369435</v>
      </c>
      <c r="C3286" s="2" t="str">
        <f>"15654"</f>
        <v>15654</v>
      </c>
      <c r="D3286" t="s">
        <v>3388</v>
      </c>
      <c r="E3286" t="s">
        <v>4</v>
      </c>
      <c r="F3286">
        <v>27</v>
      </c>
      <c r="H3286" t="s">
        <v>5</v>
      </c>
      <c r="I3286" s="1">
        <v>103.03</v>
      </c>
      <c r="J3286" s="1">
        <v>103.03</v>
      </c>
      <c r="K3286" t="s">
        <v>6</v>
      </c>
    </row>
    <row r="3287" spans="1:11">
      <c r="A3287" t="s">
        <v>3284</v>
      </c>
      <c r="B3287">
        <v>370189</v>
      </c>
      <c r="C3287" s="2" t="str">
        <f>"15656"</f>
        <v>15656</v>
      </c>
      <c r="D3287" t="s">
        <v>3389</v>
      </c>
      <c r="E3287" t="s">
        <v>4</v>
      </c>
      <c r="F3287">
        <v>24</v>
      </c>
      <c r="H3287" t="s">
        <v>5</v>
      </c>
      <c r="I3287" s="1">
        <v>98.27</v>
      </c>
      <c r="J3287" s="1">
        <v>98.27</v>
      </c>
      <c r="K3287" t="s">
        <v>6</v>
      </c>
    </row>
    <row r="3288" spans="1:11">
      <c r="A3288" t="s">
        <v>3284</v>
      </c>
      <c r="B3288">
        <v>370875</v>
      </c>
      <c r="C3288" s="2" t="str">
        <f>"15659"</f>
        <v>15659</v>
      </c>
      <c r="D3288" t="s">
        <v>3390</v>
      </c>
      <c r="E3288" t="s">
        <v>4</v>
      </c>
      <c r="F3288">
        <v>20</v>
      </c>
      <c r="H3288" t="s">
        <v>5</v>
      </c>
      <c r="I3288" s="1">
        <v>89.61</v>
      </c>
      <c r="J3288" s="1">
        <v>89.61</v>
      </c>
      <c r="K3288" t="s">
        <v>6</v>
      </c>
    </row>
    <row r="3289" spans="1:11">
      <c r="A3289" t="s">
        <v>3284</v>
      </c>
      <c r="B3289">
        <v>370360</v>
      </c>
      <c r="C3289" s="2" t="str">
        <f>"15661"</f>
        <v>15661</v>
      </c>
      <c r="D3289" t="s">
        <v>3391</v>
      </c>
      <c r="E3289" t="s">
        <v>4</v>
      </c>
      <c r="F3289">
        <v>18</v>
      </c>
      <c r="H3289" t="s">
        <v>5</v>
      </c>
      <c r="I3289" s="1">
        <v>81.38</v>
      </c>
      <c r="J3289" s="1">
        <v>81.38</v>
      </c>
      <c r="K3289" t="s">
        <v>6</v>
      </c>
    </row>
    <row r="3290" spans="1:11">
      <c r="A3290" t="s">
        <v>3284</v>
      </c>
      <c r="B3290">
        <v>390501</v>
      </c>
      <c r="C3290" s="2" t="str">
        <f>"15665"</f>
        <v>15665</v>
      </c>
      <c r="D3290" t="s">
        <v>3392</v>
      </c>
      <c r="E3290" t="s">
        <v>4</v>
      </c>
      <c r="F3290">
        <v>29.6</v>
      </c>
      <c r="H3290" t="s">
        <v>5</v>
      </c>
      <c r="I3290" s="1">
        <v>94.37</v>
      </c>
      <c r="J3290" s="1">
        <v>94.37</v>
      </c>
      <c r="K3290" t="s">
        <v>6</v>
      </c>
    </row>
    <row r="3291" spans="1:11">
      <c r="A3291" t="s">
        <v>3284</v>
      </c>
      <c r="B3291">
        <v>406640</v>
      </c>
      <c r="C3291" s="2" t="str">
        <f>"15673"</f>
        <v>15673</v>
      </c>
      <c r="D3291" t="s">
        <v>3393</v>
      </c>
      <c r="E3291" t="s">
        <v>4</v>
      </c>
      <c r="F3291">
        <v>18.93</v>
      </c>
      <c r="H3291" t="s">
        <v>5</v>
      </c>
      <c r="I3291" s="1">
        <v>57.72</v>
      </c>
      <c r="J3291" s="1">
        <v>57.72</v>
      </c>
      <c r="K3291" t="s">
        <v>6</v>
      </c>
    </row>
    <row r="3292" spans="1:11">
      <c r="A3292" t="s">
        <v>3284</v>
      </c>
      <c r="B3292">
        <v>451129</v>
      </c>
      <c r="C3292" s="2" t="str">
        <f>"15709"</f>
        <v>15709</v>
      </c>
      <c r="D3292" t="s">
        <v>3394</v>
      </c>
      <c r="E3292" t="s">
        <v>4</v>
      </c>
      <c r="F3292">
        <v>7.4</v>
      </c>
      <c r="H3292" t="s">
        <v>5</v>
      </c>
      <c r="I3292" s="1">
        <v>26.99</v>
      </c>
      <c r="J3292" s="1">
        <v>26.99</v>
      </c>
      <c r="K3292" t="s">
        <v>6</v>
      </c>
    </row>
    <row r="3293" spans="1:11">
      <c r="A3293" t="s">
        <v>3284</v>
      </c>
      <c r="B3293">
        <v>451868</v>
      </c>
      <c r="C3293" s="2" t="str">
        <f>"15710"</f>
        <v>15710</v>
      </c>
      <c r="D3293" t="s">
        <v>3395</v>
      </c>
      <c r="E3293" t="s">
        <v>4</v>
      </c>
      <c r="F3293">
        <v>8.6999999999999993</v>
      </c>
      <c r="H3293" t="s">
        <v>5</v>
      </c>
      <c r="I3293" s="1">
        <v>28.57</v>
      </c>
      <c r="J3293" s="1">
        <v>28.57</v>
      </c>
      <c r="K3293" t="s">
        <v>6</v>
      </c>
    </row>
    <row r="3294" spans="1:11">
      <c r="A3294" t="s">
        <v>3284</v>
      </c>
      <c r="B3294">
        <v>459085</v>
      </c>
      <c r="C3294" s="2" t="str">
        <f>"15711"</f>
        <v>15711</v>
      </c>
      <c r="D3294" t="s">
        <v>3396</v>
      </c>
      <c r="E3294" t="s">
        <v>4</v>
      </c>
      <c r="F3294">
        <v>10.8</v>
      </c>
      <c r="H3294" t="s">
        <v>5</v>
      </c>
      <c r="I3294" s="1">
        <v>30.16</v>
      </c>
      <c r="J3294" s="1">
        <v>30.16</v>
      </c>
      <c r="K3294" t="s">
        <v>6</v>
      </c>
    </row>
    <row r="3295" spans="1:11">
      <c r="A3295" t="s">
        <v>3284</v>
      </c>
      <c r="B3295">
        <v>460266</v>
      </c>
      <c r="C3295" s="2" t="str">
        <f>"15712"</f>
        <v>15712</v>
      </c>
      <c r="D3295" t="s">
        <v>3397</v>
      </c>
      <c r="E3295" t="s">
        <v>4</v>
      </c>
      <c r="F3295">
        <v>11.2</v>
      </c>
      <c r="H3295" t="s">
        <v>5</v>
      </c>
      <c r="I3295" s="1">
        <v>32.76</v>
      </c>
      <c r="J3295" s="1">
        <v>32.76</v>
      </c>
      <c r="K3295" t="s">
        <v>6</v>
      </c>
    </row>
    <row r="3296" spans="1:11">
      <c r="A3296" t="s">
        <v>3284</v>
      </c>
      <c r="B3296">
        <v>451127</v>
      </c>
      <c r="C3296" s="2" t="str">
        <f>"15713"</f>
        <v>15713</v>
      </c>
      <c r="D3296" t="s">
        <v>3398</v>
      </c>
      <c r="E3296" t="s">
        <v>4</v>
      </c>
      <c r="F3296">
        <v>12.3</v>
      </c>
      <c r="H3296" t="s">
        <v>5</v>
      </c>
      <c r="I3296" s="1">
        <v>33.619999999999997</v>
      </c>
      <c r="J3296" s="1">
        <v>33.619999999999997</v>
      </c>
      <c r="K3296" t="s">
        <v>6</v>
      </c>
    </row>
    <row r="3297" spans="1:11">
      <c r="A3297" t="s">
        <v>3284</v>
      </c>
      <c r="B3297">
        <v>460569</v>
      </c>
      <c r="C3297" s="2" t="str">
        <f>"15714"</f>
        <v>15714</v>
      </c>
      <c r="D3297" t="s">
        <v>3399</v>
      </c>
      <c r="E3297" t="s">
        <v>4</v>
      </c>
      <c r="F3297">
        <v>13.4</v>
      </c>
      <c r="H3297" t="s">
        <v>5</v>
      </c>
      <c r="I3297" s="1">
        <v>33.619999999999997</v>
      </c>
      <c r="J3297" s="1">
        <v>33.619999999999997</v>
      </c>
      <c r="K3297" t="s">
        <v>6</v>
      </c>
    </row>
    <row r="3298" spans="1:11">
      <c r="A3298" t="s">
        <v>3284</v>
      </c>
      <c r="B3298">
        <v>450509</v>
      </c>
      <c r="C3298" s="2" t="str">
        <f>"15715"</f>
        <v>15715</v>
      </c>
      <c r="D3298" t="s">
        <v>3400</v>
      </c>
      <c r="E3298" t="s">
        <v>4</v>
      </c>
      <c r="F3298">
        <v>14.8</v>
      </c>
      <c r="H3298" t="s">
        <v>5</v>
      </c>
      <c r="I3298" s="1">
        <v>43</v>
      </c>
      <c r="J3298" s="1">
        <v>43</v>
      </c>
      <c r="K3298" t="s">
        <v>6</v>
      </c>
    </row>
    <row r="3299" spans="1:11">
      <c r="A3299" t="s">
        <v>3284</v>
      </c>
      <c r="B3299">
        <v>475965</v>
      </c>
      <c r="C3299" s="2" t="str">
        <f>"15720"</f>
        <v>15720</v>
      </c>
      <c r="D3299" t="s">
        <v>3401</v>
      </c>
      <c r="E3299" t="s">
        <v>4</v>
      </c>
      <c r="F3299">
        <v>14.3</v>
      </c>
      <c r="H3299" t="s">
        <v>5</v>
      </c>
      <c r="I3299" s="1">
        <v>43</v>
      </c>
      <c r="J3299" s="1">
        <v>43</v>
      </c>
      <c r="K3299" t="s">
        <v>6</v>
      </c>
    </row>
    <row r="3300" spans="1:11">
      <c r="A3300" t="s">
        <v>3284</v>
      </c>
      <c r="B3300">
        <v>437931</v>
      </c>
      <c r="C3300" s="2" t="str">
        <f>"15722"</f>
        <v>15722</v>
      </c>
      <c r="D3300" t="s">
        <v>3402</v>
      </c>
      <c r="E3300" t="s">
        <v>4</v>
      </c>
      <c r="F3300">
        <v>36.5</v>
      </c>
      <c r="H3300" t="s">
        <v>5</v>
      </c>
      <c r="I3300" s="1">
        <v>76.19</v>
      </c>
      <c r="J3300" s="1">
        <v>76.19</v>
      </c>
      <c r="K3300" t="s">
        <v>6</v>
      </c>
    </row>
    <row r="3301" spans="1:11">
      <c r="A3301" t="s">
        <v>3284</v>
      </c>
      <c r="B3301">
        <v>527185</v>
      </c>
      <c r="C3301" s="2" t="str">
        <f>"15733"</f>
        <v>15733</v>
      </c>
      <c r="D3301" t="s">
        <v>3403</v>
      </c>
      <c r="E3301" t="s">
        <v>4</v>
      </c>
      <c r="F3301">
        <v>4.9800000000000004</v>
      </c>
      <c r="H3301" t="s">
        <v>5</v>
      </c>
      <c r="I3301" s="1">
        <v>22.07</v>
      </c>
      <c r="J3301" s="1">
        <v>22.07</v>
      </c>
      <c r="K3301" t="s">
        <v>6</v>
      </c>
    </row>
    <row r="3302" spans="1:11">
      <c r="A3302" t="s">
        <v>3284</v>
      </c>
      <c r="B3302">
        <v>370618</v>
      </c>
      <c r="C3302" s="2" t="str">
        <f>"158"</f>
        <v>158</v>
      </c>
      <c r="D3302" t="s">
        <v>3404</v>
      </c>
      <c r="E3302" t="s">
        <v>4</v>
      </c>
      <c r="F3302">
        <v>10</v>
      </c>
      <c r="H3302" t="s">
        <v>5</v>
      </c>
      <c r="I3302" s="1">
        <v>21.93</v>
      </c>
      <c r="J3302" s="1">
        <v>21.93</v>
      </c>
      <c r="K3302" t="s">
        <v>6</v>
      </c>
    </row>
    <row r="3303" spans="1:11">
      <c r="A3303" t="s">
        <v>3284</v>
      </c>
      <c r="B3303">
        <v>483621</v>
      </c>
      <c r="C3303" s="2" t="str">
        <f>"15812"</f>
        <v>15812</v>
      </c>
      <c r="D3303" t="s">
        <v>3405</v>
      </c>
      <c r="E3303" t="s">
        <v>4</v>
      </c>
      <c r="F3303">
        <v>12.1</v>
      </c>
      <c r="H3303" t="s">
        <v>5</v>
      </c>
      <c r="I3303" s="1">
        <v>33.619999999999997</v>
      </c>
      <c r="J3303" s="1">
        <v>33.619999999999997</v>
      </c>
      <c r="K3303" t="s">
        <v>6</v>
      </c>
    </row>
    <row r="3304" spans="1:11">
      <c r="A3304" t="s">
        <v>3284</v>
      </c>
      <c r="B3304">
        <v>489815</v>
      </c>
      <c r="C3304" s="2" t="str">
        <f>"15814"</f>
        <v>15814</v>
      </c>
      <c r="D3304" t="s">
        <v>3406</v>
      </c>
      <c r="E3304" t="s">
        <v>4</v>
      </c>
      <c r="F3304">
        <v>13.4</v>
      </c>
      <c r="H3304" t="s">
        <v>5</v>
      </c>
      <c r="I3304" s="1">
        <v>33.619999999999997</v>
      </c>
      <c r="J3304" s="1">
        <v>33.619999999999997</v>
      </c>
      <c r="K3304" t="s">
        <v>6</v>
      </c>
    </row>
    <row r="3305" spans="1:11">
      <c r="A3305" t="s">
        <v>3284</v>
      </c>
      <c r="B3305">
        <v>483622</v>
      </c>
      <c r="C3305" s="2" t="str">
        <f>"15816"</f>
        <v>15816</v>
      </c>
      <c r="D3305" t="s">
        <v>3407</v>
      </c>
      <c r="E3305" t="s">
        <v>4</v>
      </c>
      <c r="F3305">
        <v>14.8</v>
      </c>
      <c r="H3305" t="s">
        <v>5</v>
      </c>
      <c r="I3305" s="1">
        <v>43</v>
      </c>
      <c r="J3305" s="1">
        <v>43</v>
      </c>
      <c r="K3305" t="s">
        <v>6</v>
      </c>
    </row>
    <row r="3306" spans="1:11">
      <c r="A3306" t="s">
        <v>3284</v>
      </c>
      <c r="B3306">
        <v>456253</v>
      </c>
      <c r="C3306" s="2" t="str">
        <f>"159"</f>
        <v>159</v>
      </c>
      <c r="D3306" t="s">
        <v>3408</v>
      </c>
      <c r="E3306" t="s">
        <v>4</v>
      </c>
      <c r="F3306">
        <v>33.5</v>
      </c>
      <c r="H3306" t="s">
        <v>5</v>
      </c>
      <c r="I3306" s="1">
        <v>70.42</v>
      </c>
      <c r="J3306" s="1">
        <v>70.42</v>
      </c>
      <c r="K3306" t="s">
        <v>6</v>
      </c>
    </row>
    <row r="3307" spans="1:11">
      <c r="A3307" t="s">
        <v>3284</v>
      </c>
      <c r="B3307">
        <v>480549</v>
      </c>
      <c r="C3307" s="2" t="str">
        <f>"1604"</f>
        <v>1604</v>
      </c>
      <c r="D3307" t="s">
        <v>3409</v>
      </c>
      <c r="E3307" t="s">
        <v>4</v>
      </c>
      <c r="F3307">
        <v>22.2</v>
      </c>
      <c r="H3307" t="s">
        <v>5</v>
      </c>
      <c r="I3307" s="1">
        <v>61.18</v>
      </c>
      <c r="J3307" s="1">
        <v>61.18</v>
      </c>
      <c r="K3307" t="s">
        <v>6</v>
      </c>
    </row>
    <row r="3308" spans="1:11">
      <c r="A3308" t="s">
        <v>3284</v>
      </c>
      <c r="B3308">
        <v>370596</v>
      </c>
      <c r="C3308" s="2" t="str">
        <f>"161"</f>
        <v>161</v>
      </c>
      <c r="D3308" t="s">
        <v>3410</v>
      </c>
      <c r="E3308" t="s">
        <v>4</v>
      </c>
      <c r="F3308">
        <v>28</v>
      </c>
      <c r="H3308" t="s">
        <v>5</v>
      </c>
      <c r="I3308" s="1">
        <v>61.76</v>
      </c>
      <c r="J3308" s="1">
        <v>61.76</v>
      </c>
      <c r="K3308" t="s">
        <v>6</v>
      </c>
    </row>
    <row r="3309" spans="1:11">
      <c r="A3309" t="s">
        <v>3284</v>
      </c>
      <c r="B3309">
        <v>368644</v>
      </c>
      <c r="C3309" s="2" t="str">
        <f>"1610"</f>
        <v>1610</v>
      </c>
      <c r="D3309" t="s">
        <v>3411</v>
      </c>
      <c r="E3309" t="s">
        <v>4</v>
      </c>
      <c r="F3309">
        <v>14</v>
      </c>
      <c r="H3309" t="s">
        <v>5</v>
      </c>
      <c r="I3309" s="1">
        <v>51.22</v>
      </c>
      <c r="J3309" s="1">
        <v>51.22</v>
      </c>
      <c r="K3309" t="s">
        <v>6</v>
      </c>
    </row>
    <row r="3310" spans="1:11">
      <c r="A3310" t="s">
        <v>3284</v>
      </c>
      <c r="B3310">
        <v>386504</v>
      </c>
      <c r="C3310" s="2" t="str">
        <f>"1611"</f>
        <v>1611</v>
      </c>
      <c r="D3310" t="s">
        <v>3412</v>
      </c>
      <c r="E3310" t="s">
        <v>4</v>
      </c>
      <c r="F3310">
        <v>13.6</v>
      </c>
      <c r="H3310" t="s">
        <v>5</v>
      </c>
      <c r="I3310" s="1">
        <v>34.06</v>
      </c>
      <c r="J3310" s="1">
        <v>34.06</v>
      </c>
      <c r="K3310" t="s">
        <v>6</v>
      </c>
    </row>
    <row r="3311" spans="1:11">
      <c r="A3311" t="s">
        <v>3284</v>
      </c>
      <c r="B3311">
        <v>406181</v>
      </c>
      <c r="C3311" s="2" t="str">
        <f>"1623"</f>
        <v>1623</v>
      </c>
      <c r="D3311" t="s">
        <v>3413</v>
      </c>
      <c r="E3311" t="s">
        <v>4</v>
      </c>
      <c r="F3311">
        <v>13.1</v>
      </c>
      <c r="H3311" t="s">
        <v>5</v>
      </c>
      <c r="I3311" s="1">
        <v>34.78</v>
      </c>
      <c r="J3311" s="1">
        <v>34.78</v>
      </c>
      <c r="K3311" t="s">
        <v>6</v>
      </c>
    </row>
    <row r="3312" spans="1:11">
      <c r="A3312" t="s">
        <v>3284</v>
      </c>
      <c r="B3312">
        <v>369678</v>
      </c>
      <c r="C3312" s="2" t="str">
        <f>"1637HT"</f>
        <v>1637HT</v>
      </c>
      <c r="D3312" t="s">
        <v>3414</v>
      </c>
      <c r="E3312" t="s">
        <v>4</v>
      </c>
      <c r="F3312">
        <v>33</v>
      </c>
      <c r="H3312" t="s">
        <v>5</v>
      </c>
      <c r="I3312" s="1">
        <v>77.92</v>
      </c>
      <c r="J3312" s="1">
        <v>77.92</v>
      </c>
      <c r="K3312" t="s">
        <v>6</v>
      </c>
    </row>
    <row r="3313" spans="1:11">
      <c r="A3313" t="s">
        <v>3284</v>
      </c>
      <c r="B3313">
        <v>369193</v>
      </c>
      <c r="C3313" s="2" t="str">
        <f>"1639HT"</f>
        <v>1639HT</v>
      </c>
      <c r="D3313" t="s">
        <v>3415</v>
      </c>
      <c r="E3313" t="s">
        <v>4</v>
      </c>
      <c r="F3313">
        <v>23.6</v>
      </c>
      <c r="H3313" t="s">
        <v>5</v>
      </c>
      <c r="I3313" s="1">
        <v>28.12</v>
      </c>
      <c r="J3313" s="1">
        <v>28.12</v>
      </c>
      <c r="K3313" t="s">
        <v>6</v>
      </c>
    </row>
    <row r="3314" spans="1:11">
      <c r="A3314" t="s">
        <v>3284</v>
      </c>
      <c r="B3314">
        <v>370228</v>
      </c>
      <c r="C3314" s="2" t="str">
        <f>"1650SR"</f>
        <v>1650SR</v>
      </c>
      <c r="D3314" t="s">
        <v>3416</v>
      </c>
      <c r="E3314" t="s">
        <v>4</v>
      </c>
      <c r="F3314">
        <v>6</v>
      </c>
      <c r="H3314" t="s">
        <v>5</v>
      </c>
      <c r="I3314" s="1">
        <v>45.31</v>
      </c>
      <c r="J3314" s="1">
        <v>45.31</v>
      </c>
      <c r="K3314" t="s">
        <v>6</v>
      </c>
    </row>
    <row r="3315" spans="1:11">
      <c r="A3315" t="s">
        <v>3284</v>
      </c>
      <c r="B3315">
        <v>495061</v>
      </c>
      <c r="C3315" s="2" t="str">
        <f>"1653SR"</f>
        <v>1653SR</v>
      </c>
      <c r="D3315" t="s">
        <v>3417</v>
      </c>
      <c r="E3315" t="s">
        <v>4</v>
      </c>
      <c r="F3315">
        <v>17.899999999999999</v>
      </c>
      <c r="H3315" t="s">
        <v>5</v>
      </c>
      <c r="I3315" s="1">
        <v>72.150000000000006</v>
      </c>
      <c r="J3315" s="1">
        <v>72.150000000000006</v>
      </c>
      <c r="K3315" t="s">
        <v>6</v>
      </c>
    </row>
    <row r="3316" spans="1:11">
      <c r="A3316" t="s">
        <v>3284</v>
      </c>
      <c r="B3316">
        <v>370135</v>
      </c>
      <c r="C3316" s="2" t="str">
        <f>"1654SR"</f>
        <v>1654SR</v>
      </c>
      <c r="D3316" t="s">
        <v>3418</v>
      </c>
      <c r="E3316" t="s">
        <v>4</v>
      </c>
      <c r="F3316">
        <v>16</v>
      </c>
      <c r="H3316" t="s">
        <v>5</v>
      </c>
      <c r="I3316" s="1">
        <v>66.09</v>
      </c>
      <c r="J3316" s="1">
        <v>66.09</v>
      </c>
      <c r="K3316" t="s">
        <v>6</v>
      </c>
    </row>
    <row r="3317" spans="1:11">
      <c r="A3317" t="s">
        <v>3284</v>
      </c>
      <c r="B3317">
        <v>370225</v>
      </c>
      <c r="C3317" s="2" t="str">
        <f>"1660SR"</f>
        <v>1660SR</v>
      </c>
      <c r="D3317" t="s">
        <v>3419</v>
      </c>
      <c r="E3317" t="s">
        <v>4</v>
      </c>
      <c r="F3317">
        <v>20</v>
      </c>
      <c r="H3317" t="s">
        <v>5</v>
      </c>
      <c r="I3317" s="1">
        <v>72.150000000000006</v>
      </c>
      <c r="J3317" s="1">
        <v>72.150000000000006</v>
      </c>
      <c r="K3317" t="s">
        <v>6</v>
      </c>
    </row>
    <row r="3318" spans="1:11">
      <c r="A3318" t="s">
        <v>3284</v>
      </c>
      <c r="B3318">
        <v>370145</v>
      </c>
      <c r="C3318" s="2" t="str">
        <f>"1661SR"</f>
        <v>1661SR</v>
      </c>
      <c r="D3318" t="s">
        <v>3420</v>
      </c>
      <c r="E3318" t="s">
        <v>4</v>
      </c>
      <c r="F3318">
        <v>18</v>
      </c>
      <c r="H3318" t="s">
        <v>5</v>
      </c>
      <c r="I3318" s="1">
        <v>72.150000000000006</v>
      </c>
      <c r="J3318" s="1">
        <v>72.150000000000006</v>
      </c>
      <c r="K3318" t="s">
        <v>6</v>
      </c>
    </row>
    <row r="3319" spans="1:11">
      <c r="A3319" t="s">
        <v>3284</v>
      </c>
      <c r="B3319">
        <v>492791</v>
      </c>
      <c r="C3319" s="2" t="str">
        <f>"1664SR"</f>
        <v>1664SR</v>
      </c>
      <c r="D3319" t="s">
        <v>3421</v>
      </c>
      <c r="E3319" t="s">
        <v>4</v>
      </c>
      <c r="F3319">
        <v>23.7</v>
      </c>
      <c r="H3319" t="s">
        <v>5</v>
      </c>
      <c r="I3319" s="1">
        <v>77.64</v>
      </c>
      <c r="J3319" s="1">
        <v>77.64</v>
      </c>
      <c r="K3319" t="s">
        <v>6</v>
      </c>
    </row>
    <row r="3320" spans="1:11">
      <c r="A3320" t="s">
        <v>3284</v>
      </c>
      <c r="B3320">
        <v>370868</v>
      </c>
      <c r="C3320" s="2" t="str">
        <f>"170"</f>
        <v>170</v>
      </c>
      <c r="D3320" t="s">
        <v>3422</v>
      </c>
      <c r="E3320" t="s">
        <v>4</v>
      </c>
      <c r="F3320">
        <v>37</v>
      </c>
      <c r="H3320" t="s">
        <v>5</v>
      </c>
      <c r="I3320" s="1">
        <v>87.74</v>
      </c>
      <c r="J3320" s="1">
        <v>87.74</v>
      </c>
      <c r="K3320" t="s">
        <v>6</v>
      </c>
    </row>
    <row r="3321" spans="1:11">
      <c r="A3321" t="s">
        <v>3284</v>
      </c>
      <c r="B3321">
        <v>378800</v>
      </c>
      <c r="C3321" s="2" t="str">
        <f>"1709712"</f>
        <v>1709712</v>
      </c>
      <c r="D3321" t="s">
        <v>3423</v>
      </c>
      <c r="E3321" t="s">
        <v>4</v>
      </c>
      <c r="F3321">
        <v>15.39</v>
      </c>
      <c r="H3321" t="s">
        <v>5</v>
      </c>
      <c r="I3321" s="1">
        <v>90.04</v>
      </c>
      <c r="J3321" s="1">
        <v>90.04</v>
      </c>
      <c r="K3321" t="s">
        <v>6</v>
      </c>
    </row>
    <row r="3322" spans="1:11">
      <c r="A3322" t="s">
        <v>3284</v>
      </c>
      <c r="B3322">
        <v>388099</v>
      </c>
      <c r="C3322" s="2" t="str">
        <f>"1713HT"</f>
        <v>1713HT</v>
      </c>
      <c r="D3322" t="s">
        <v>3424</v>
      </c>
      <c r="E3322" t="s">
        <v>4</v>
      </c>
      <c r="F3322">
        <v>20.100000000000001</v>
      </c>
      <c r="H3322" t="s">
        <v>5</v>
      </c>
      <c r="I3322" s="1">
        <v>76.62</v>
      </c>
      <c r="J3322" s="1">
        <v>76.62</v>
      </c>
      <c r="K3322" t="s">
        <v>6</v>
      </c>
    </row>
    <row r="3323" spans="1:11">
      <c r="A3323" t="s">
        <v>3284</v>
      </c>
      <c r="B3323">
        <v>370390</v>
      </c>
      <c r="C3323" s="2" t="str">
        <f>"171B"</f>
        <v>171B</v>
      </c>
      <c r="D3323" t="s">
        <v>3425</v>
      </c>
      <c r="E3323" t="s">
        <v>4</v>
      </c>
      <c r="F3323">
        <v>9</v>
      </c>
      <c r="H3323" t="s">
        <v>5</v>
      </c>
      <c r="I3323" s="1">
        <v>27.27</v>
      </c>
      <c r="J3323" s="1">
        <v>27.27</v>
      </c>
      <c r="K3323" t="s">
        <v>6</v>
      </c>
    </row>
    <row r="3324" spans="1:11">
      <c r="A3324" t="s">
        <v>3284</v>
      </c>
      <c r="B3324">
        <v>455753</v>
      </c>
      <c r="C3324" s="2" t="str">
        <f>"172"</f>
        <v>172</v>
      </c>
      <c r="D3324" t="s">
        <v>3426</v>
      </c>
      <c r="E3324" t="s">
        <v>4</v>
      </c>
      <c r="F3324">
        <v>28.7</v>
      </c>
      <c r="H3324" t="s">
        <v>5</v>
      </c>
      <c r="I3324" s="1">
        <v>61.76</v>
      </c>
      <c r="J3324" s="1">
        <v>61.76</v>
      </c>
      <c r="K3324" t="s">
        <v>6</v>
      </c>
    </row>
    <row r="3325" spans="1:11">
      <c r="A3325" t="s">
        <v>3284</v>
      </c>
      <c r="B3325">
        <v>371399</v>
      </c>
      <c r="C3325" s="2" t="str">
        <f>"1722471"</f>
        <v>1722471</v>
      </c>
      <c r="D3325" t="s">
        <v>3427</v>
      </c>
      <c r="E3325" t="s">
        <v>4</v>
      </c>
      <c r="F3325">
        <v>29.95</v>
      </c>
      <c r="H3325" t="s">
        <v>5</v>
      </c>
      <c r="I3325" s="1">
        <v>65.680000000000007</v>
      </c>
      <c r="J3325" s="1">
        <v>65.680000000000007</v>
      </c>
      <c r="K3325" t="s">
        <v>6</v>
      </c>
    </row>
    <row r="3326" spans="1:11">
      <c r="A3326" t="s">
        <v>3284</v>
      </c>
      <c r="B3326">
        <v>370161</v>
      </c>
      <c r="C3326" s="2" t="str">
        <f>"176"</f>
        <v>176</v>
      </c>
      <c r="D3326" t="s">
        <v>3428</v>
      </c>
      <c r="E3326" t="s">
        <v>4</v>
      </c>
      <c r="F3326">
        <v>23</v>
      </c>
      <c r="H3326" t="s">
        <v>5</v>
      </c>
      <c r="I3326" s="1">
        <v>50.65</v>
      </c>
      <c r="J3326" s="1">
        <v>50.65</v>
      </c>
      <c r="K3326" t="s">
        <v>6</v>
      </c>
    </row>
    <row r="3327" spans="1:11">
      <c r="A3327" t="s">
        <v>3284</v>
      </c>
      <c r="B3327">
        <v>376565</v>
      </c>
      <c r="C3327" s="2" t="str">
        <f>"1767591"</f>
        <v>1767591</v>
      </c>
      <c r="D3327" t="s">
        <v>3429</v>
      </c>
      <c r="E3327" t="s">
        <v>4</v>
      </c>
      <c r="F3327">
        <v>9.3000000000000007</v>
      </c>
      <c r="H3327" t="s">
        <v>5</v>
      </c>
      <c r="I3327" s="1">
        <v>40.26</v>
      </c>
      <c r="J3327" s="1">
        <v>40.26</v>
      </c>
      <c r="K3327" t="s">
        <v>6</v>
      </c>
    </row>
    <row r="3328" spans="1:11">
      <c r="A3328" t="s">
        <v>3284</v>
      </c>
      <c r="B3328">
        <v>451267</v>
      </c>
      <c r="C3328" s="2" t="str">
        <f>"178"</f>
        <v>178</v>
      </c>
      <c r="D3328" t="s">
        <v>3430</v>
      </c>
      <c r="E3328" t="s">
        <v>4</v>
      </c>
      <c r="F3328">
        <v>15.4</v>
      </c>
      <c r="H3328" t="s">
        <v>5</v>
      </c>
      <c r="I3328" s="1">
        <v>34.35</v>
      </c>
      <c r="J3328" s="1">
        <v>34.35</v>
      </c>
      <c r="K3328" t="s">
        <v>6</v>
      </c>
    </row>
    <row r="3329" spans="1:11">
      <c r="A3329" t="s">
        <v>3284</v>
      </c>
      <c r="B3329">
        <v>375984</v>
      </c>
      <c r="C3329" s="2" t="str">
        <f>"1785473"</f>
        <v>1785473</v>
      </c>
      <c r="D3329" t="s">
        <v>3431</v>
      </c>
      <c r="E3329" t="s">
        <v>4</v>
      </c>
      <c r="F3329">
        <v>33.99</v>
      </c>
      <c r="H3329" t="s">
        <v>5</v>
      </c>
      <c r="I3329" s="1">
        <v>66.08</v>
      </c>
      <c r="J3329" s="1">
        <v>66.08</v>
      </c>
      <c r="K3329" t="s">
        <v>6</v>
      </c>
    </row>
    <row r="3330" spans="1:11">
      <c r="A3330" t="s">
        <v>3284</v>
      </c>
      <c r="B3330">
        <v>429127</v>
      </c>
      <c r="C3330" s="2" t="str">
        <f>"1787386"</f>
        <v>1787386</v>
      </c>
      <c r="D3330" t="s">
        <v>3432</v>
      </c>
      <c r="E3330" t="s">
        <v>4</v>
      </c>
      <c r="F3330">
        <v>21.1</v>
      </c>
      <c r="H3330" t="s">
        <v>5</v>
      </c>
      <c r="I3330" s="1">
        <v>34.06</v>
      </c>
      <c r="J3330" s="1">
        <v>34.06</v>
      </c>
      <c r="K3330" t="s">
        <v>6</v>
      </c>
    </row>
    <row r="3331" spans="1:11">
      <c r="A3331" t="s">
        <v>3284</v>
      </c>
      <c r="B3331">
        <v>417894</v>
      </c>
      <c r="C3331" s="2" t="str">
        <f>"1788490"</f>
        <v>1788490</v>
      </c>
      <c r="D3331" t="s">
        <v>3433</v>
      </c>
      <c r="E3331" t="s">
        <v>4</v>
      </c>
      <c r="F3331">
        <v>14.79</v>
      </c>
      <c r="H3331" t="s">
        <v>5</v>
      </c>
      <c r="I3331" s="1">
        <v>41.28</v>
      </c>
      <c r="J3331" s="1">
        <v>41.28</v>
      </c>
      <c r="K3331" t="s">
        <v>6</v>
      </c>
    </row>
    <row r="3332" spans="1:11">
      <c r="A3332" t="s">
        <v>3284</v>
      </c>
      <c r="B3332">
        <v>417635</v>
      </c>
      <c r="C3332" s="2" t="str">
        <f>"1788491"</f>
        <v>1788491</v>
      </c>
      <c r="D3332" t="s">
        <v>3434</v>
      </c>
      <c r="E3332" t="s">
        <v>4</v>
      </c>
      <c r="F3332">
        <v>9.14</v>
      </c>
      <c r="H3332" t="s">
        <v>5</v>
      </c>
      <c r="I3332" s="1">
        <v>27.42</v>
      </c>
      <c r="J3332" s="1">
        <v>27.42</v>
      </c>
      <c r="K3332" t="s">
        <v>6</v>
      </c>
    </row>
    <row r="3333" spans="1:11">
      <c r="A3333" t="s">
        <v>3284</v>
      </c>
      <c r="B3333">
        <v>402449</v>
      </c>
      <c r="C3333" s="2" t="str">
        <f>"179"</f>
        <v>179</v>
      </c>
      <c r="D3333" t="s">
        <v>3435</v>
      </c>
      <c r="E3333" t="s">
        <v>4</v>
      </c>
      <c r="F3333">
        <v>24.6</v>
      </c>
      <c r="H3333" t="s">
        <v>5</v>
      </c>
      <c r="I3333" s="1">
        <v>53.25</v>
      </c>
      <c r="J3333" s="1">
        <v>53.25</v>
      </c>
      <c r="K3333" t="s">
        <v>6</v>
      </c>
    </row>
    <row r="3334" spans="1:11">
      <c r="A3334" t="s">
        <v>3284</v>
      </c>
      <c r="B3334">
        <v>448562</v>
      </c>
      <c r="C3334" s="2" t="str">
        <f>"1792421"</f>
        <v>1792421</v>
      </c>
      <c r="D3334" t="s">
        <v>3436</v>
      </c>
      <c r="E3334" t="s">
        <v>4</v>
      </c>
      <c r="F3334">
        <v>15.27</v>
      </c>
      <c r="H3334" t="s">
        <v>5</v>
      </c>
      <c r="I3334" s="1">
        <v>30.81</v>
      </c>
      <c r="J3334" s="1">
        <v>30.81</v>
      </c>
      <c r="K3334" t="s">
        <v>6</v>
      </c>
    </row>
    <row r="3335" spans="1:11">
      <c r="A3335" t="s">
        <v>3284</v>
      </c>
      <c r="B3335">
        <v>370542</v>
      </c>
      <c r="C3335" s="2" t="str">
        <f>"18"</f>
        <v>18</v>
      </c>
      <c r="D3335" t="s">
        <v>3437</v>
      </c>
      <c r="E3335" t="s">
        <v>4</v>
      </c>
      <c r="F3335">
        <v>29</v>
      </c>
      <c r="H3335" t="s">
        <v>5</v>
      </c>
      <c r="I3335" s="1">
        <v>75.760000000000005</v>
      </c>
      <c r="J3335" s="1">
        <v>75.760000000000005</v>
      </c>
      <c r="K3335" t="s">
        <v>6</v>
      </c>
    </row>
    <row r="3336" spans="1:11">
      <c r="A3336" t="s">
        <v>3284</v>
      </c>
      <c r="B3336">
        <v>452922</v>
      </c>
      <c r="C3336" s="2" t="str">
        <f>"181"</f>
        <v>181</v>
      </c>
      <c r="D3336" t="s">
        <v>3438</v>
      </c>
      <c r="E3336" t="s">
        <v>4</v>
      </c>
      <c r="F3336">
        <v>17.100000000000001</v>
      </c>
      <c r="H3336" t="s">
        <v>5</v>
      </c>
      <c r="I3336" s="1">
        <v>38.090000000000003</v>
      </c>
      <c r="J3336" s="1">
        <v>38.090000000000003</v>
      </c>
      <c r="K3336" t="s">
        <v>6</v>
      </c>
    </row>
    <row r="3337" spans="1:11">
      <c r="A3337" t="s">
        <v>3284</v>
      </c>
      <c r="B3337">
        <v>370210</v>
      </c>
      <c r="C3337" s="2" t="str">
        <f>"183"</f>
        <v>183</v>
      </c>
      <c r="D3337" t="s">
        <v>3439</v>
      </c>
      <c r="E3337" t="s">
        <v>4</v>
      </c>
      <c r="F3337">
        <v>29</v>
      </c>
      <c r="H3337" t="s">
        <v>5</v>
      </c>
      <c r="I3337" s="1">
        <v>64.06</v>
      </c>
      <c r="J3337" s="1">
        <v>64.06</v>
      </c>
      <c r="K3337" t="s">
        <v>6</v>
      </c>
    </row>
    <row r="3338" spans="1:11">
      <c r="A3338" t="s">
        <v>3284</v>
      </c>
      <c r="B3338">
        <v>369375</v>
      </c>
      <c r="C3338" s="2" t="str">
        <f>"19"</f>
        <v>19</v>
      </c>
      <c r="D3338" t="s">
        <v>3440</v>
      </c>
      <c r="E3338" t="s">
        <v>4</v>
      </c>
      <c r="F3338">
        <v>29.4</v>
      </c>
      <c r="H3338" t="s">
        <v>5</v>
      </c>
      <c r="I3338" s="1">
        <v>75.760000000000005</v>
      </c>
      <c r="J3338" s="1">
        <v>75.760000000000005</v>
      </c>
      <c r="K3338" t="s">
        <v>6</v>
      </c>
    </row>
    <row r="3339" spans="1:11">
      <c r="A3339" t="s">
        <v>3284</v>
      </c>
      <c r="B3339">
        <v>369209</v>
      </c>
      <c r="C3339" s="2" t="str">
        <f>"1906HT"</f>
        <v>1906HT</v>
      </c>
      <c r="D3339" t="s">
        <v>3441</v>
      </c>
      <c r="E3339" t="s">
        <v>4</v>
      </c>
      <c r="F3339">
        <v>31</v>
      </c>
      <c r="H3339" t="s">
        <v>5</v>
      </c>
      <c r="I3339" s="1">
        <v>131.6</v>
      </c>
      <c r="J3339" s="1">
        <v>131.6</v>
      </c>
      <c r="K3339" t="s">
        <v>6</v>
      </c>
    </row>
    <row r="3340" spans="1:11">
      <c r="A3340" t="s">
        <v>3284</v>
      </c>
      <c r="B3340">
        <v>458817</v>
      </c>
      <c r="C3340" s="2" t="str">
        <f>"1910HT"</f>
        <v>1910HT</v>
      </c>
      <c r="D3340" t="s">
        <v>3442</v>
      </c>
      <c r="E3340" t="s">
        <v>4</v>
      </c>
      <c r="F3340">
        <v>15.3</v>
      </c>
      <c r="H3340" t="s">
        <v>5</v>
      </c>
      <c r="I3340" s="1">
        <v>68.11</v>
      </c>
      <c r="J3340" s="1">
        <v>68.11</v>
      </c>
      <c r="K3340" t="s">
        <v>6</v>
      </c>
    </row>
    <row r="3341" spans="1:11">
      <c r="A3341" t="s">
        <v>3284</v>
      </c>
      <c r="B3341">
        <v>369476</v>
      </c>
      <c r="C3341" s="2" t="str">
        <f>"1917HT"</f>
        <v>1917HT</v>
      </c>
      <c r="D3341" t="s">
        <v>3443</v>
      </c>
      <c r="E3341" t="s">
        <v>4</v>
      </c>
      <c r="F3341">
        <v>24</v>
      </c>
      <c r="H3341" t="s">
        <v>5</v>
      </c>
      <c r="I3341" s="1">
        <v>102.17</v>
      </c>
      <c r="J3341" s="1">
        <v>102.17</v>
      </c>
      <c r="K3341" t="s">
        <v>6</v>
      </c>
    </row>
    <row r="3342" spans="1:11">
      <c r="A3342" t="s">
        <v>3284</v>
      </c>
      <c r="B3342">
        <v>370216</v>
      </c>
      <c r="C3342" s="2" t="str">
        <f>"194"</f>
        <v>194</v>
      </c>
      <c r="D3342" t="s">
        <v>3444</v>
      </c>
      <c r="E3342" t="s">
        <v>4</v>
      </c>
      <c r="F3342">
        <v>28</v>
      </c>
      <c r="H3342" t="s">
        <v>5</v>
      </c>
      <c r="I3342" s="1">
        <v>83.55</v>
      </c>
      <c r="J3342" s="1">
        <v>83.55</v>
      </c>
      <c r="K3342" t="s">
        <v>6</v>
      </c>
    </row>
    <row r="3343" spans="1:11">
      <c r="A3343" t="s">
        <v>3284</v>
      </c>
      <c r="B3343">
        <v>369676</v>
      </c>
      <c r="C3343" s="2" t="str">
        <f>"1965"</f>
        <v>1965</v>
      </c>
      <c r="D3343" t="s">
        <v>3445</v>
      </c>
      <c r="E3343" t="s">
        <v>4</v>
      </c>
      <c r="F3343">
        <v>7</v>
      </c>
      <c r="H3343" t="s">
        <v>5</v>
      </c>
      <c r="I3343" s="1">
        <v>41.99</v>
      </c>
      <c r="J3343" s="1">
        <v>41.99</v>
      </c>
      <c r="K3343" t="s">
        <v>6</v>
      </c>
    </row>
    <row r="3344" spans="1:11">
      <c r="A3344" t="s">
        <v>3284</v>
      </c>
      <c r="B3344">
        <v>538450</v>
      </c>
      <c r="C3344" s="2" t="str">
        <f>"201208"</f>
        <v>201208</v>
      </c>
      <c r="D3344" t="s">
        <v>3446</v>
      </c>
      <c r="E3344" t="s">
        <v>4</v>
      </c>
      <c r="F3344">
        <v>6.15</v>
      </c>
      <c r="H3344" t="s">
        <v>5</v>
      </c>
      <c r="I3344" s="1">
        <v>39.83</v>
      </c>
      <c r="J3344" s="1">
        <v>39.83</v>
      </c>
      <c r="K3344" t="s">
        <v>6</v>
      </c>
    </row>
    <row r="3345" spans="1:11">
      <c r="A3345" t="s">
        <v>3284</v>
      </c>
      <c r="B3345">
        <v>489927</v>
      </c>
      <c r="C3345" s="2" t="str">
        <f>"217"</f>
        <v>217</v>
      </c>
      <c r="D3345" t="s">
        <v>3447</v>
      </c>
      <c r="E3345" t="s">
        <v>4</v>
      </c>
      <c r="F3345">
        <v>3.9</v>
      </c>
      <c r="H3345" t="s">
        <v>5</v>
      </c>
      <c r="I3345" s="1">
        <v>21.93</v>
      </c>
      <c r="J3345" s="1">
        <v>21.93</v>
      </c>
      <c r="K3345" t="s">
        <v>6</v>
      </c>
    </row>
    <row r="3346" spans="1:11">
      <c r="A3346" t="s">
        <v>3284</v>
      </c>
      <c r="B3346">
        <v>458329</v>
      </c>
      <c r="C3346" s="2" t="str">
        <f>"221"</f>
        <v>221</v>
      </c>
      <c r="D3346" t="s">
        <v>3448</v>
      </c>
      <c r="E3346" t="s">
        <v>4</v>
      </c>
      <c r="F3346">
        <v>5.4</v>
      </c>
      <c r="H3346" t="s">
        <v>5</v>
      </c>
      <c r="I3346" s="1">
        <v>21.93</v>
      </c>
      <c r="J3346" s="1">
        <v>21.93</v>
      </c>
      <c r="K3346" t="s">
        <v>6</v>
      </c>
    </row>
    <row r="3347" spans="1:11">
      <c r="A3347" t="s">
        <v>3284</v>
      </c>
      <c r="B3347">
        <v>431878</v>
      </c>
      <c r="C3347" s="2" t="str">
        <f>"2212"</f>
        <v>2212</v>
      </c>
      <c r="D3347" t="s">
        <v>3449</v>
      </c>
      <c r="E3347" t="s">
        <v>4</v>
      </c>
      <c r="F3347">
        <v>8.4</v>
      </c>
      <c r="H3347" t="s">
        <v>5</v>
      </c>
      <c r="I3347" s="1">
        <v>31.02</v>
      </c>
      <c r="J3347" s="1">
        <v>31.02</v>
      </c>
      <c r="K3347" t="s">
        <v>6</v>
      </c>
    </row>
    <row r="3348" spans="1:11">
      <c r="A3348" t="s">
        <v>3284</v>
      </c>
      <c r="B3348">
        <v>458330</v>
      </c>
      <c r="C3348" s="2" t="str">
        <f>"222"</f>
        <v>222</v>
      </c>
      <c r="D3348" t="s">
        <v>3450</v>
      </c>
      <c r="E3348" t="s">
        <v>4</v>
      </c>
      <c r="F3348">
        <v>5.0999999999999996</v>
      </c>
      <c r="H3348" t="s">
        <v>5</v>
      </c>
      <c r="I3348" s="1">
        <v>21.93</v>
      </c>
      <c r="J3348" s="1">
        <v>21.93</v>
      </c>
      <c r="K3348" t="s">
        <v>6</v>
      </c>
    </row>
    <row r="3349" spans="1:11">
      <c r="A3349" t="s">
        <v>3284</v>
      </c>
      <c r="B3349">
        <v>444512</v>
      </c>
      <c r="C3349" s="2" t="str">
        <f>"223"</f>
        <v>223</v>
      </c>
      <c r="D3349" t="s">
        <v>3451</v>
      </c>
      <c r="E3349" t="s">
        <v>4</v>
      </c>
      <c r="F3349">
        <v>20.2</v>
      </c>
      <c r="H3349" t="s">
        <v>5</v>
      </c>
      <c r="I3349" s="1">
        <v>58.29</v>
      </c>
      <c r="J3349" s="1">
        <v>58.29</v>
      </c>
      <c r="K3349" t="s">
        <v>6</v>
      </c>
    </row>
    <row r="3350" spans="1:11">
      <c r="A3350" t="s">
        <v>3284</v>
      </c>
      <c r="B3350">
        <v>461169</v>
      </c>
      <c r="C3350" s="2" t="str">
        <f>"224"</f>
        <v>224</v>
      </c>
      <c r="D3350" t="s">
        <v>3452</v>
      </c>
      <c r="E3350" t="s">
        <v>4</v>
      </c>
      <c r="F3350">
        <v>5.9</v>
      </c>
      <c r="H3350" t="s">
        <v>5</v>
      </c>
      <c r="I3350" s="1">
        <v>21.93</v>
      </c>
      <c r="J3350" s="1">
        <v>21.93</v>
      </c>
      <c r="K3350" t="s">
        <v>6</v>
      </c>
    </row>
    <row r="3351" spans="1:11">
      <c r="A3351" t="s">
        <v>3284</v>
      </c>
      <c r="B3351">
        <v>388103</v>
      </c>
      <c r="C3351" s="2" t="str">
        <f>"225"</f>
        <v>225</v>
      </c>
      <c r="D3351" t="s">
        <v>3453</v>
      </c>
      <c r="E3351" t="s">
        <v>4</v>
      </c>
      <c r="F3351">
        <v>21.7</v>
      </c>
      <c r="H3351" t="s">
        <v>5</v>
      </c>
      <c r="I3351" s="1">
        <v>45.02</v>
      </c>
      <c r="J3351" s="1">
        <v>45.02</v>
      </c>
      <c r="K3351" t="s">
        <v>6</v>
      </c>
    </row>
    <row r="3352" spans="1:11">
      <c r="A3352" t="s">
        <v>3284</v>
      </c>
      <c r="B3352">
        <v>388109</v>
      </c>
      <c r="C3352" s="2" t="str">
        <f>"226"</f>
        <v>226</v>
      </c>
      <c r="D3352" t="s">
        <v>3454</v>
      </c>
      <c r="E3352" t="s">
        <v>4</v>
      </c>
      <c r="F3352">
        <v>21.9</v>
      </c>
      <c r="H3352" t="s">
        <v>5</v>
      </c>
      <c r="I3352" s="1">
        <v>53.68</v>
      </c>
      <c r="J3352" s="1">
        <v>53.68</v>
      </c>
      <c r="K3352" t="s">
        <v>6</v>
      </c>
    </row>
    <row r="3353" spans="1:11">
      <c r="A3353" t="s">
        <v>3284</v>
      </c>
      <c r="B3353">
        <v>370342</v>
      </c>
      <c r="C3353" s="2" t="str">
        <f>"227"</f>
        <v>227</v>
      </c>
      <c r="D3353" t="s">
        <v>3455</v>
      </c>
      <c r="E3353" t="s">
        <v>4</v>
      </c>
      <c r="F3353">
        <v>31</v>
      </c>
      <c r="H3353" t="s">
        <v>5</v>
      </c>
      <c r="I3353" s="1">
        <v>90.04</v>
      </c>
      <c r="J3353" s="1">
        <v>90.04</v>
      </c>
      <c r="K3353" t="s">
        <v>6</v>
      </c>
    </row>
    <row r="3354" spans="1:11">
      <c r="A3354" t="s">
        <v>3284</v>
      </c>
      <c r="B3354">
        <v>473348</v>
      </c>
      <c r="C3354" s="2" t="str">
        <f>"228"</f>
        <v>228</v>
      </c>
      <c r="D3354" t="s">
        <v>3456</v>
      </c>
      <c r="E3354" t="s">
        <v>4</v>
      </c>
      <c r="F3354">
        <v>4</v>
      </c>
      <c r="H3354" t="s">
        <v>5</v>
      </c>
      <c r="I3354" s="1">
        <v>21.93</v>
      </c>
      <c r="J3354" s="1">
        <v>21.93</v>
      </c>
      <c r="K3354" t="s">
        <v>6</v>
      </c>
    </row>
    <row r="3355" spans="1:11">
      <c r="A3355" t="s">
        <v>3284</v>
      </c>
      <c r="B3355">
        <v>370260</v>
      </c>
      <c r="C3355" s="2" t="str">
        <f>"2303"</f>
        <v>2303</v>
      </c>
      <c r="D3355" t="s">
        <v>3457</v>
      </c>
      <c r="E3355" t="s">
        <v>4</v>
      </c>
      <c r="F3355">
        <v>10</v>
      </c>
      <c r="H3355" t="s">
        <v>5</v>
      </c>
      <c r="I3355" s="1">
        <v>46.32</v>
      </c>
      <c r="J3355" s="1">
        <v>46.32</v>
      </c>
      <c r="K3355" t="s">
        <v>6</v>
      </c>
    </row>
    <row r="3356" spans="1:11">
      <c r="A3356" t="s">
        <v>3284</v>
      </c>
      <c r="B3356">
        <v>369513</v>
      </c>
      <c r="C3356" s="2" t="str">
        <f>"2310"</f>
        <v>2310</v>
      </c>
      <c r="D3356" t="s">
        <v>3458</v>
      </c>
      <c r="E3356" t="s">
        <v>4</v>
      </c>
      <c r="F3356">
        <v>23.9</v>
      </c>
      <c r="H3356" t="s">
        <v>5</v>
      </c>
      <c r="I3356" s="1">
        <v>61.48</v>
      </c>
      <c r="J3356" s="1">
        <v>61.48</v>
      </c>
      <c r="K3356" t="s">
        <v>6</v>
      </c>
    </row>
    <row r="3357" spans="1:11">
      <c r="A3357" t="s">
        <v>3284</v>
      </c>
      <c r="B3357">
        <v>386805</v>
      </c>
      <c r="C3357" s="2" t="str">
        <f>"23106"</f>
        <v>23106</v>
      </c>
      <c r="D3357" t="s">
        <v>3459</v>
      </c>
      <c r="E3357" t="s">
        <v>4</v>
      </c>
      <c r="F3357">
        <v>23.9</v>
      </c>
      <c r="H3357" t="s">
        <v>5</v>
      </c>
      <c r="I3357" s="1">
        <v>68.39</v>
      </c>
      <c r="J3357" s="1">
        <v>68.39</v>
      </c>
      <c r="K3357" t="s">
        <v>6</v>
      </c>
    </row>
    <row r="3358" spans="1:11">
      <c r="A3358" t="s">
        <v>3284</v>
      </c>
      <c r="B3358">
        <v>419408</v>
      </c>
      <c r="C3358" s="2" t="str">
        <f>"2311"</f>
        <v>2311</v>
      </c>
      <c r="D3358" t="s">
        <v>3460</v>
      </c>
      <c r="E3358" t="s">
        <v>4</v>
      </c>
      <c r="F3358">
        <v>11.9</v>
      </c>
      <c r="H3358" t="s">
        <v>5</v>
      </c>
      <c r="I3358" s="1">
        <v>31.02</v>
      </c>
      <c r="J3358" s="1">
        <v>31.02</v>
      </c>
      <c r="K3358" t="s">
        <v>6</v>
      </c>
    </row>
    <row r="3359" spans="1:11">
      <c r="A3359" t="s">
        <v>3284</v>
      </c>
      <c r="B3359">
        <v>370124</v>
      </c>
      <c r="C3359" s="2" t="str">
        <f>"2318"</f>
        <v>2318</v>
      </c>
      <c r="D3359" t="s">
        <v>3461</v>
      </c>
      <c r="E3359" t="s">
        <v>4</v>
      </c>
      <c r="F3359">
        <v>19</v>
      </c>
      <c r="H3359" t="s">
        <v>5</v>
      </c>
      <c r="I3359" s="1">
        <v>56.71</v>
      </c>
      <c r="J3359" s="1">
        <v>56.71</v>
      </c>
      <c r="K3359" t="s">
        <v>6</v>
      </c>
    </row>
    <row r="3360" spans="1:11">
      <c r="A3360" t="s">
        <v>3284</v>
      </c>
      <c r="B3360">
        <v>452023</v>
      </c>
      <c r="C3360" s="2" t="str">
        <f>"23186"</f>
        <v>23186</v>
      </c>
      <c r="D3360" t="s">
        <v>3462</v>
      </c>
      <c r="E3360" t="s">
        <v>4</v>
      </c>
      <c r="F3360">
        <v>25</v>
      </c>
      <c r="H3360" t="s">
        <v>5</v>
      </c>
      <c r="I3360" s="1">
        <v>81.38</v>
      </c>
      <c r="J3360" s="1">
        <v>81.38</v>
      </c>
      <c r="K3360" t="s">
        <v>6</v>
      </c>
    </row>
    <row r="3361" spans="1:11">
      <c r="A3361" t="s">
        <v>3284</v>
      </c>
      <c r="B3361">
        <v>456251</v>
      </c>
      <c r="C3361" s="2" t="str">
        <f>"232"</f>
        <v>232</v>
      </c>
      <c r="D3361" t="s">
        <v>3463</v>
      </c>
      <c r="E3361" t="s">
        <v>4</v>
      </c>
      <c r="F3361">
        <v>25.7</v>
      </c>
      <c r="H3361" t="s">
        <v>5</v>
      </c>
      <c r="I3361" s="1">
        <v>58.88</v>
      </c>
      <c r="J3361" s="1">
        <v>58.88</v>
      </c>
      <c r="K3361" t="s">
        <v>6</v>
      </c>
    </row>
    <row r="3362" spans="1:11">
      <c r="A3362" t="s">
        <v>3284</v>
      </c>
      <c r="B3362">
        <v>370257</v>
      </c>
      <c r="C3362" s="2" t="str">
        <f>"2323"</f>
        <v>2323</v>
      </c>
      <c r="D3362" t="s">
        <v>3464</v>
      </c>
      <c r="E3362" t="s">
        <v>4</v>
      </c>
      <c r="F3362">
        <v>18</v>
      </c>
      <c r="H3362" t="s">
        <v>5</v>
      </c>
      <c r="I3362" s="1">
        <v>56.71</v>
      </c>
      <c r="J3362" s="1">
        <v>56.71</v>
      </c>
      <c r="K3362" t="s">
        <v>6</v>
      </c>
    </row>
    <row r="3363" spans="1:11">
      <c r="A3363" t="s">
        <v>3284</v>
      </c>
      <c r="B3363">
        <v>449713</v>
      </c>
      <c r="C3363" s="2" t="str">
        <f>"23236"</f>
        <v>23236</v>
      </c>
      <c r="D3363" t="s">
        <v>3465</v>
      </c>
      <c r="E3363" t="s">
        <v>4</v>
      </c>
      <c r="F3363">
        <v>28.1</v>
      </c>
      <c r="H3363" t="s">
        <v>5</v>
      </c>
      <c r="I3363" s="1">
        <v>76.77</v>
      </c>
      <c r="J3363" s="1">
        <v>76.77</v>
      </c>
      <c r="K3363" t="s">
        <v>6</v>
      </c>
    </row>
    <row r="3364" spans="1:11">
      <c r="A3364" t="s">
        <v>3284</v>
      </c>
      <c r="B3364">
        <v>369578</v>
      </c>
      <c r="C3364" s="2" t="str">
        <f>"2325"</f>
        <v>2325</v>
      </c>
      <c r="D3364" t="s">
        <v>3466</v>
      </c>
      <c r="E3364" t="s">
        <v>4</v>
      </c>
      <c r="F3364">
        <v>22</v>
      </c>
      <c r="H3364" t="s">
        <v>5</v>
      </c>
      <c r="I3364" s="1">
        <v>57.15</v>
      </c>
      <c r="J3364" s="1">
        <v>57.15</v>
      </c>
      <c r="K3364" t="s">
        <v>6</v>
      </c>
    </row>
    <row r="3365" spans="1:11">
      <c r="A3365" t="s">
        <v>3284</v>
      </c>
      <c r="B3365">
        <v>454343</v>
      </c>
      <c r="C3365" s="2" t="str">
        <f>"23256"</f>
        <v>23256</v>
      </c>
      <c r="D3365" t="s">
        <v>3467</v>
      </c>
      <c r="E3365" t="s">
        <v>4</v>
      </c>
      <c r="F3365">
        <v>31.1</v>
      </c>
      <c r="H3365" t="s">
        <v>5</v>
      </c>
      <c r="I3365" s="1">
        <v>81.38</v>
      </c>
      <c r="J3365" s="1">
        <v>81.38</v>
      </c>
      <c r="K3365" t="s">
        <v>6</v>
      </c>
    </row>
    <row r="3366" spans="1:11">
      <c r="A3366" t="s">
        <v>3284</v>
      </c>
      <c r="B3366">
        <v>369526</v>
      </c>
      <c r="C3366" s="2" t="str">
        <f>"2328"</f>
        <v>2328</v>
      </c>
      <c r="D3366" t="s">
        <v>3468</v>
      </c>
      <c r="E3366" t="s">
        <v>4</v>
      </c>
      <c r="F3366">
        <v>18.600000000000001</v>
      </c>
      <c r="H3366" t="s">
        <v>5</v>
      </c>
      <c r="I3366" s="1">
        <v>58.01</v>
      </c>
      <c r="J3366" s="1">
        <v>58.01</v>
      </c>
      <c r="K3366" t="s">
        <v>6</v>
      </c>
    </row>
    <row r="3367" spans="1:11">
      <c r="A3367" t="s">
        <v>3284</v>
      </c>
      <c r="B3367">
        <v>458820</v>
      </c>
      <c r="C3367" s="2" t="str">
        <f>"23286"</f>
        <v>23286</v>
      </c>
      <c r="D3367" t="s">
        <v>3469</v>
      </c>
      <c r="E3367" t="s">
        <v>4</v>
      </c>
      <c r="F3367">
        <v>25.2</v>
      </c>
      <c r="H3367" t="s">
        <v>5</v>
      </c>
      <c r="I3367" s="1">
        <v>81.97</v>
      </c>
      <c r="J3367" s="1">
        <v>81.97</v>
      </c>
      <c r="K3367" t="s">
        <v>6</v>
      </c>
    </row>
    <row r="3368" spans="1:11">
      <c r="A3368" t="s">
        <v>3284</v>
      </c>
      <c r="B3368">
        <v>369233</v>
      </c>
      <c r="C3368" s="2" t="str">
        <f>"2338"</f>
        <v>2338</v>
      </c>
      <c r="D3368" t="s">
        <v>3470</v>
      </c>
      <c r="E3368" t="s">
        <v>4</v>
      </c>
      <c r="F3368">
        <v>25.5</v>
      </c>
      <c r="H3368" t="s">
        <v>5</v>
      </c>
      <c r="I3368" s="1">
        <v>67.540000000000006</v>
      </c>
      <c r="J3368" s="1">
        <v>67.540000000000006</v>
      </c>
      <c r="K3368" t="s">
        <v>6</v>
      </c>
    </row>
    <row r="3369" spans="1:11">
      <c r="A3369" t="s">
        <v>3284</v>
      </c>
      <c r="B3369">
        <v>455335</v>
      </c>
      <c r="C3369" s="2" t="str">
        <f>"23386"</f>
        <v>23386</v>
      </c>
      <c r="D3369" t="s">
        <v>3471</v>
      </c>
      <c r="E3369" t="s">
        <v>4</v>
      </c>
      <c r="F3369">
        <v>16.3</v>
      </c>
      <c r="H3369" t="s">
        <v>5</v>
      </c>
      <c r="I3369" s="1">
        <v>45.6</v>
      </c>
      <c r="J3369" s="1">
        <v>45.6</v>
      </c>
      <c r="K3369" t="s">
        <v>6</v>
      </c>
    </row>
    <row r="3370" spans="1:11">
      <c r="A3370" t="s">
        <v>3284</v>
      </c>
      <c r="B3370">
        <v>369256</v>
      </c>
      <c r="C3370" s="2" t="str">
        <f>"2339"</f>
        <v>2339</v>
      </c>
      <c r="D3370" t="s">
        <v>3472</v>
      </c>
      <c r="E3370" t="s">
        <v>4</v>
      </c>
      <c r="F3370">
        <v>27.2</v>
      </c>
      <c r="H3370" t="s">
        <v>5</v>
      </c>
      <c r="I3370" s="1">
        <v>74.459999999999994</v>
      </c>
      <c r="J3370" s="1">
        <v>74.459999999999994</v>
      </c>
      <c r="K3370" t="s">
        <v>6</v>
      </c>
    </row>
    <row r="3371" spans="1:11">
      <c r="A3371" t="s">
        <v>3284</v>
      </c>
      <c r="B3371">
        <v>370399</v>
      </c>
      <c r="C3371" s="2" t="str">
        <f>"23396"</f>
        <v>23396</v>
      </c>
      <c r="D3371" t="s">
        <v>3473</v>
      </c>
      <c r="E3371" t="s">
        <v>4</v>
      </c>
      <c r="F3371">
        <v>28</v>
      </c>
      <c r="H3371" t="s">
        <v>5</v>
      </c>
      <c r="I3371" s="1">
        <v>89.61</v>
      </c>
      <c r="J3371" s="1">
        <v>89.61</v>
      </c>
      <c r="K3371" t="s">
        <v>6</v>
      </c>
    </row>
    <row r="3372" spans="1:11">
      <c r="A3372" t="s">
        <v>3284</v>
      </c>
      <c r="B3372">
        <v>370123</v>
      </c>
      <c r="C3372" s="2" t="str">
        <f>"2349"</f>
        <v>2349</v>
      </c>
      <c r="D3372" t="s">
        <v>3474</v>
      </c>
      <c r="E3372" t="s">
        <v>4</v>
      </c>
      <c r="F3372">
        <v>14</v>
      </c>
      <c r="H3372" t="s">
        <v>5</v>
      </c>
      <c r="I3372" s="1">
        <v>51.08</v>
      </c>
      <c r="J3372" s="1">
        <v>51.08</v>
      </c>
      <c r="K3372" t="s">
        <v>6</v>
      </c>
    </row>
    <row r="3373" spans="1:11">
      <c r="A3373" t="s">
        <v>3284</v>
      </c>
      <c r="B3373">
        <v>370129</v>
      </c>
      <c r="C3373" s="2" t="str">
        <f>"23496"</f>
        <v>23496</v>
      </c>
      <c r="D3373" t="s">
        <v>3475</v>
      </c>
      <c r="E3373" t="s">
        <v>4</v>
      </c>
      <c r="F3373">
        <v>28</v>
      </c>
      <c r="H3373" t="s">
        <v>5</v>
      </c>
      <c r="I3373" s="1">
        <v>106.5</v>
      </c>
      <c r="J3373" s="1">
        <v>106.5</v>
      </c>
      <c r="K3373" t="s">
        <v>6</v>
      </c>
    </row>
    <row r="3374" spans="1:11">
      <c r="A3374" t="s">
        <v>3284</v>
      </c>
      <c r="B3374">
        <v>370138</v>
      </c>
      <c r="C3374" s="2" t="str">
        <f>"2359"</f>
        <v>2359</v>
      </c>
      <c r="D3374" t="s">
        <v>3476</v>
      </c>
      <c r="E3374" t="s">
        <v>4</v>
      </c>
      <c r="F3374">
        <v>26</v>
      </c>
      <c r="H3374" t="s">
        <v>5</v>
      </c>
      <c r="I3374" s="1">
        <v>67.540000000000006</v>
      </c>
      <c r="J3374" s="1">
        <v>67.540000000000006</v>
      </c>
      <c r="K3374" t="s">
        <v>6</v>
      </c>
    </row>
    <row r="3375" spans="1:11">
      <c r="A3375" t="s">
        <v>3284</v>
      </c>
      <c r="B3375">
        <v>455405</v>
      </c>
      <c r="C3375" s="2" t="str">
        <f>"23596"</f>
        <v>23596</v>
      </c>
      <c r="D3375" t="s">
        <v>3477</v>
      </c>
      <c r="E3375" t="s">
        <v>4</v>
      </c>
      <c r="F3375">
        <v>15.2</v>
      </c>
      <c r="H3375" t="s">
        <v>5</v>
      </c>
      <c r="I3375" s="1">
        <v>43.86</v>
      </c>
      <c r="J3375" s="1">
        <v>43.86</v>
      </c>
      <c r="K3375" t="s">
        <v>6</v>
      </c>
    </row>
    <row r="3376" spans="1:11">
      <c r="A3376" t="s">
        <v>3284</v>
      </c>
      <c r="B3376">
        <v>369536</v>
      </c>
      <c r="C3376" s="2" t="str">
        <f>"2369"</f>
        <v>2369</v>
      </c>
      <c r="D3376" t="s">
        <v>3478</v>
      </c>
      <c r="E3376" t="s">
        <v>4</v>
      </c>
      <c r="F3376">
        <v>26.1</v>
      </c>
      <c r="H3376" t="s">
        <v>5</v>
      </c>
      <c r="I3376" s="1">
        <v>76.62</v>
      </c>
      <c r="J3376" s="1">
        <v>76.62</v>
      </c>
      <c r="K3376" t="s">
        <v>6</v>
      </c>
    </row>
    <row r="3377" spans="1:11">
      <c r="A3377" t="s">
        <v>3284</v>
      </c>
      <c r="B3377">
        <v>412292</v>
      </c>
      <c r="C3377" s="2" t="str">
        <f>"2391"</f>
        <v>2391</v>
      </c>
      <c r="D3377" t="s">
        <v>3479</v>
      </c>
      <c r="E3377" t="s">
        <v>4</v>
      </c>
      <c r="F3377">
        <v>12.9</v>
      </c>
      <c r="H3377" t="s">
        <v>5</v>
      </c>
      <c r="I3377" s="1">
        <v>49.63</v>
      </c>
      <c r="J3377" s="1">
        <v>49.63</v>
      </c>
      <c r="K3377" t="s">
        <v>6</v>
      </c>
    </row>
    <row r="3378" spans="1:11">
      <c r="A3378" t="s">
        <v>3284</v>
      </c>
      <c r="B3378">
        <v>391456</v>
      </c>
      <c r="C3378" s="2" t="str">
        <f>"2392"</f>
        <v>2392</v>
      </c>
      <c r="D3378" t="s">
        <v>3480</v>
      </c>
      <c r="E3378" t="s">
        <v>4</v>
      </c>
      <c r="F3378">
        <v>16.7</v>
      </c>
      <c r="H3378" t="s">
        <v>5</v>
      </c>
      <c r="I3378" s="1">
        <v>53.96</v>
      </c>
      <c r="J3378" s="1">
        <v>53.96</v>
      </c>
      <c r="K3378" t="s">
        <v>6</v>
      </c>
    </row>
    <row r="3379" spans="1:11">
      <c r="A3379" t="s">
        <v>3284</v>
      </c>
      <c r="B3379">
        <v>439030</v>
      </c>
      <c r="C3379" s="2" t="str">
        <f>"243"</f>
        <v>243</v>
      </c>
      <c r="D3379" t="s">
        <v>3481</v>
      </c>
      <c r="E3379" t="s">
        <v>4</v>
      </c>
      <c r="F3379">
        <v>6.9</v>
      </c>
      <c r="H3379" t="s">
        <v>5</v>
      </c>
      <c r="I3379" s="1">
        <v>35.79</v>
      </c>
      <c r="J3379" s="1">
        <v>35.79</v>
      </c>
      <c r="K3379" t="s">
        <v>6</v>
      </c>
    </row>
    <row r="3380" spans="1:11">
      <c r="A3380" t="s">
        <v>3284</v>
      </c>
      <c r="B3380">
        <v>488384</v>
      </c>
      <c r="C3380" s="2" t="str">
        <f>"247"</f>
        <v>247</v>
      </c>
      <c r="D3380" t="s">
        <v>3482</v>
      </c>
      <c r="E3380" t="s">
        <v>4</v>
      </c>
      <c r="F3380">
        <v>12.8</v>
      </c>
      <c r="H3380" t="s">
        <v>5</v>
      </c>
      <c r="I3380" s="1">
        <v>36.36</v>
      </c>
      <c r="J3380" s="1">
        <v>36.36</v>
      </c>
      <c r="K3380" t="s">
        <v>6</v>
      </c>
    </row>
    <row r="3381" spans="1:11">
      <c r="A3381" t="s">
        <v>3284</v>
      </c>
      <c r="B3381">
        <v>370881</v>
      </c>
      <c r="C3381" s="2" t="str">
        <f>"2478"</f>
        <v>2478</v>
      </c>
      <c r="D3381" t="s">
        <v>3483</v>
      </c>
      <c r="E3381" t="s">
        <v>4</v>
      </c>
      <c r="F3381">
        <v>16</v>
      </c>
      <c r="H3381" t="s">
        <v>5</v>
      </c>
      <c r="I3381" s="1">
        <v>33.76</v>
      </c>
      <c r="J3381" s="1">
        <v>33.76</v>
      </c>
      <c r="K3381" t="s">
        <v>6</v>
      </c>
    </row>
    <row r="3382" spans="1:11">
      <c r="A3382" t="s">
        <v>3284</v>
      </c>
      <c r="B3382">
        <v>369524</v>
      </c>
      <c r="C3382" s="2" t="str">
        <f>"2481"</f>
        <v>2481</v>
      </c>
      <c r="D3382" t="s">
        <v>3484</v>
      </c>
      <c r="E3382" t="s">
        <v>4</v>
      </c>
      <c r="F3382">
        <v>15</v>
      </c>
      <c r="H3382" t="s">
        <v>5</v>
      </c>
      <c r="I3382" s="1">
        <v>57.15</v>
      </c>
      <c r="J3382" s="1">
        <v>57.15</v>
      </c>
      <c r="K3382" t="s">
        <v>6</v>
      </c>
    </row>
    <row r="3383" spans="1:11">
      <c r="A3383" t="s">
        <v>3284</v>
      </c>
      <c r="B3383">
        <v>369270</v>
      </c>
      <c r="C3383" s="2" t="str">
        <f>"2485"</f>
        <v>2485</v>
      </c>
      <c r="D3383" t="s">
        <v>3485</v>
      </c>
      <c r="E3383" t="s">
        <v>4</v>
      </c>
      <c r="F3383">
        <v>25.5</v>
      </c>
      <c r="H3383" t="s">
        <v>5</v>
      </c>
      <c r="I3383" s="1">
        <v>63.21</v>
      </c>
      <c r="J3383" s="1">
        <v>63.21</v>
      </c>
      <c r="K3383" t="s">
        <v>6</v>
      </c>
    </row>
    <row r="3384" spans="1:11">
      <c r="A3384" t="s">
        <v>3284</v>
      </c>
      <c r="B3384">
        <v>369582</v>
      </c>
      <c r="C3384" s="2" t="str">
        <f>"2486"</f>
        <v>2486</v>
      </c>
      <c r="D3384" t="s">
        <v>3486</v>
      </c>
      <c r="E3384" t="s">
        <v>4</v>
      </c>
      <c r="F3384">
        <v>28</v>
      </c>
      <c r="H3384" t="s">
        <v>5</v>
      </c>
      <c r="I3384" s="1">
        <v>75.760000000000005</v>
      </c>
      <c r="J3384" s="1">
        <v>75.760000000000005</v>
      </c>
      <c r="K3384" t="s">
        <v>6</v>
      </c>
    </row>
    <row r="3385" spans="1:11">
      <c r="A3385" t="s">
        <v>3284</v>
      </c>
      <c r="B3385">
        <v>369446</v>
      </c>
      <c r="C3385" s="2" t="str">
        <f>"2488"</f>
        <v>2488</v>
      </c>
      <c r="D3385" t="s">
        <v>3487</v>
      </c>
      <c r="E3385" t="s">
        <v>4</v>
      </c>
      <c r="F3385">
        <v>23.8</v>
      </c>
      <c r="H3385" t="s">
        <v>5</v>
      </c>
      <c r="I3385" s="1">
        <v>68.39</v>
      </c>
      <c r="J3385" s="1">
        <v>68.39</v>
      </c>
      <c r="K3385" t="s">
        <v>6</v>
      </c>
    </row>
    <row r="3386" spans="1:11">
      <c r="A3386" t="s">
        <v>3284</v>
      </c>
      <c r="B3386">
        <v>369441</v>
      </c>
      <c r="C3386" s="2" t="str">
        <f>"2489"</f>
        <v>2489</v>
      </c>
      <c r="D3386" t="s">
        <v>3488</v>
      </c>
      <c r="E3386" t="s">
        <v>4</v>
      </c>
      <c r="F3386">
        <v>20</v>
      </c>
      <c r="H3386" t="s">
        <v>5</v>
      </c>
      <c r="I3386" s="1">
        <v>65.81</v>
      </c>
      <c r="J3386" s="1">
        <v>65.81</v>
      </c>
      <c r="K3386" t="s">
        <v>6</v>
      </c>
    </row>
    <row r="3387" spans="1:11">
      <c r="A3387" t="s">
        <v>3284</v>
      </c>
      <c r="B3387">
        <v>388104</v>
      </c>
      <c r="C3387" s="2" t="str">
        <f>"259"</f>
        <v>259</v>
      </c>
      <c r="D3387" t="s">
        <v>3489</v>
      </c>
      <c r="E3387" t="s">
        <v>4</v>
      </c>
      <c r="F3387">
        <v>24.9</v>
      </c>
      <c r="H3387" t="s">
        <v>5</v>
      </c>
      <c r="I3387" s="1">
        <v>53.25</v>
      </c>
      <c r="J3387" s="1">
        <v>53.25</v>
      </c>
      <c r="K3387" t="s">
        <v>6</v>
      </c>
    </row>
    <row r="3388" spans="1:11">
      <c r="A3388" t="s">
        <v>3284</v>
      </c>
      <c r="B3388">
        <v>370867</v>
      </c>
      <c r="C3388" s="2" t="str">
        <f>"2824"</f>
        <v>2824</v>
      </c>
      <c r="D3388" t="s">
        <v>3490</v>
      </c>
      <c r="E3388" t="s">
        <v>4</v>
      </c>
      <c r="F3388">
        <v>15</v>
      </c>
      <c r="H3388" t="s">
        <v>5</v>
      </c>
      <c r="I3388" s="1">
        <v>55.99</v>
      </c>
      <c r="J3388" s="1">
        <v>55.99</v>
      </c>
      <c r="K3388" t="s">
        <v>6</v>
      </c>
    </row>
    <row r="3389" spans="1:11">
      <c r="A3389" t="s">
        <v>3284</v>
      </c>
      <c r="B3389">
        <v>516059</v>
      </c>
      <c r="C3389" s="2" t="str">
        <f>"2854"</f>
        <v>2854</v>
      </c>
      <c r="D3389" t="s">
        <v>3491</v>
      </c>
      <c r="E3389" t="s">
        <v>4</v>
      </c>
      <c r="F3389">
        <v>8.5</v>
      </c>
      <c r="H3389" t="s">
        <v>5</v>
      </c>
      <c r="I3389" s="1">
        <v>34.06</v>
      </c>
      <c r="J3389" s="1">
        <v>34.06</v>
      </c>
      <c r="K3389" t="s">
        <v>6</v>
      </c>
    </row>
    <row r="3390" spans="1:11">
      <c r="A3390" t="s">
        <v>3284</v>
      </c>
      <c r="B3390">
        <v>369364</v>
      </c>
      <c r="C3390" s="2" t="str">
        <f>"29011HT"</f>
        <v>29011HT</v>
      </c>
      <c r="D3390" t="s">
        <v>3492</v>
      </c>
      <c r="E3390" t="s">
        <v>4</v>
      </c>
      <c r="F3390">
        <v>27</v>
      </c>
      <c r="H3390" t="s">
        <v>5</v>
      </c>
      <c r="I3390" s="1">
        <v>130.74</v>
      </c>
      <c r="J3390" s="1">
        <v>130.74</v>
      </c>
      <c r="K3390" t="s">
        <v>6</v>
      </c>
    </row>
    <row r="3391" spans="1:11">
      <c r="A3391" t="s">
        <v>3284</v>
      </c>
      <c r="B3391">
        <v>369347</v>
      </c>
      <c r="C3391" s="2" t="str">
        <f>"29211HT"</f>
        <v>29211HT</v>
      </c>
      <c r="D3391" t="s">
        <v>3493</v>
      </c>
      <c r="E3391" t="s">
        <v>4</v>
      </c>
      <c r="F3391">
        <v>39</v>
      </c>
      <c r="H3391" t="s">
        <v>5</v>
      </c>
      <c r="I3391" s="1">
        <v>154.97</v>
      </c>
      <c r="J3391" s="1">
        <v>154.97</v>
      </c>
      <c r="K3391" t="s">
        <v>6</v>
      </c>
    </row>
    <row r="3392" spans="1:11">
      <c r="A3392" t="s">
        <v>3284</v>
      </c>
      <c r="B3392">
        <v>458822</v>
      </c>
      <c r="C3392" s="2" t="str">
        <f>"29411HT"</f>
        <v>29411HT</v>
      </c>
      <c r="D3392" t="s">
        <v>3494</v>
      </c>
      <c r="E3392" t="s">
        <v>4</v>
      </c>
      <c r="F3392">
        <v>15.5</v>
      </c>
      <c r="H3392" t="s">
        <v>5</v>
      </c>
      <c r="I3392" s="1">
        <v>53.68</v>
      </c>
      <c r="J3392" s="1">
        <v>53.68</v>
      </c>
      <c r="K3392" t="s">
        <v>6</v>
      </c>
    </row>
    <row r="3393" spans="1:11">
      <c r="A3393" t="s">
        <v>3284</v>
      </c>
      <c r="B3393">
        <v>463668</v>
      </c>
      <c r="C3393" s="2" t="str">
        <f>"29511HT"</f>
        <v>29511HT</v>
      </c>
      <c r="D3393" t="s">
        <v>3495</v>
      </c>
      <c r="E3393" t="s">
        <v>4</v>
      </c>
      <c r="F3393">
        <v>24.2</v>
      </c>
      <c r="H3393" t="s">
        <v>5</v>
      </c>
      <c r="I3393" s="1">
        <v>96.97</v>
      </c>
      <c r="J3393" s="1">
        <v>96.97</v>
      </c>
      <c r="K3393" t="s">
        <v>6</v>
      </c>
    </row>
    <row r="3394" spans="1:11">
      <c r="A3394" t="s">
        <v>3284</v>
      </c>
      <c r="B3394">
        <v>460213</v>
      </c>
      <c r="C3394" s="2" t="str">
        <f>"29811HT"</f>
        <v>29811HT</v>
      </c>
      <c r="D3394" t="s">
        <v>3496</v>
      </c>
      <c r="E3394" t="s">
        <v>4</v>
      </c>
      <c r="F3394">
        <v>18.2</v>
      </c>
      <c r="H3394" t="s">
        <v>5</v>
      </c>
      <c r="I3394" s="1">
        <v>59.45</v>
      </c>
      <c r="J3394" s="1">
        <v>59.45</v>
      </c>
      <c r="K3394" t="s">
        <v>6</v>
      </c>
    </row>
    <row r="3395" spans="1:11">
      <c r="A3395" t="s">
        <v>3284</v>
      </c>
      <c r="B3395">
        <v>369511</v>
      </c>
      <c r="C3395" s="2" t="str">
        <f>"29911HT"</f>
        <v>29911HT</v>
      </c>
      <c r="D3395" t="s">
        <v>3497</v>
      </c>
      <c r="E3395" t="s">
        <v>4</v>
      </c>
      <c r="F3395">
        <v>33</v>
      </c>
      <c r="H3395" t="s">
        <v>5</v>
      </c>
      <c r="I3395" s="1">
        <v>101.3</v>
      </c>
      <c r="J3395" s="1">
        <v>101.3</v>
      </c>
      <c r="K3395" t="s">
        <v>6</v>
      </c>
    </row>
    <row r="3396" spans="1:11">
      <c r="A3396" t="s">
        <v>3284</v>
      </c>
      <c r="B3396">
        <v>394369</v>
      </c>
      <c r="C3396" s="2" t="str">
        <f>"3010"</f>
        <v>3010</v>
      </c>
      <c r="D3396" t="s">
        <v>3498</v>
      </c>
      <c r="E3396" t="s">
        <v>4</v>
      </c>
      <c r="F3396">
        <v>16.2</v>
      </c>
      <c r="H3396" t="s">
        <v>5</v>
      </c>
      <c r="I3396" s="1">
        <v>79.650000000000006</v>
      </c>
      <c r="J3396" s="1">
        <v>79.650000000000006</v>
      </c>
      <c r="K3396" t="s">
        <v>6</v>
      </c>
    </row>
    <row r="3397" spans="1:11">
      <c r="A3397" t="s">
        <v>3284</v>
      </c>
      <c r="B3397">
        <v>370219</v>
      </c>
      <c r="C3397" s="2" t="str">
        <f>"3011"</f>
        <v>3011</v>
      </c>
      <c r="D3397" t="s">
        <v>3499</v>
      </c>
      <c r="E3397" t="s">
        <v>4</v>
      </c>
      <c r="F3397">
        <v>16.600000000000001</v>
      </c>
      <c r="H3397" t="s">
        <v>5</v>
      </c>
      <c r="I3397" s="1">
        <v>79.650000000000006</v>
      </c>
      <c r="J3397" s="1">
        <v>79.650000000000006</v>
      </c>
      <c r="K3397" t="s">
        <v>6</v>
      </c>
    </row>
    <row r="3398" spans="1:11">
      <c r="A3398" t="s">
        <v>3284</v>
      </c>
      <c r="B3398">
        <v>369641</v>
      </c>
      <c r="C3398" s="2" t="str">
        <f>"3014"</f>
        <v>3014</v>
      </c>
      <c r="D3398" t="s">
        <v>3500</v>
      </c>
      <c r="E3398" t="s">
        <v>4</v>
      </c>
      <c r="F3398">
        <v>16.100000000000001</v>
      </c>
      <c r="H3398" t="s">
        <v>5</v>
      </c>
      <c r="I3398" s="1">
        <v>79.650000000000006</v>
      </c>
      <c r="J3398" s="1">
        <v>79.650000000000006</v>
      </c>
      <c r="K3398" t="s">
        <v>6</v>
      </c>
    </row>
    <row r="3399" spans="1:11">
      <c r="A3399" t="s">
        <v>3284</v>
      </c>
      <c r="B3399">
        <v>370455</v>
      </c>
      <c r="C3399" s="2" t="str">
        <f>"3056"</f>
        <v>3056</v>
      </c>
      <c r="D3399" t="s">
        <v>3501</v>
      </c>
      <c r="E3399" t="s">
        <v>4</v>
      </c>
      <c r="F3399">
        <v>13.4</v>
      </c>
      <c r="H3399" t="s">
        <v>5</v>
      </c>
      <c r="I3399" s="1">
        <v>79.650000000000006</v>
      </c>
      <c r="J3399" s="1">
        <v>79.650000000000006</v>
      </c>
      <c r="K3399" t="s">
        <v>6</v>
      </c>
    </row>
    <row r="3400" spans="1:11">
      <c r="A3400" t="s">
        <v>3284</v>
      </c>
      <c r="B3400">
        <v>368794</v>
      </c>
      <c r="C3400" s="2" t="str">
        <f>"3057"</f>
        <v>3057</v>
      </c>
      <c r="D3400" t="s">
        <v>3502</v>
      </c>
      <c r="E3400" t="s">
        <v>4</v>
      </c>
      <c r="F3400">
        <v>13.4</v>
      </c>
      <c r="H3400" t="s">
        <v>5</v>
      </c>
      <c r="I3400" s="1">
        <v>79.650000000000006</v>
      </c>
      <c r="J3400" s="1">
        <v>79.650000000000006</v>
      </c>
      <c r="K3400" t="s">
        <v>6</v>
      </c>
    </row>
    <row r="3401" spans="1:11">
      <c r="A3401" t="s">
        <v>3284</v>
      </c>
      <c r="B3401">
        <v>406636</v>
      </c>
      <c r="C3401" s="2" t="str">
        <f>"3060"</f>
        <v>3060</v>
      </c>
      <c r="D3401" t="s">
        <v>3503</v>
      </c>
      <c r="E3401" t="s">
        <v>4</v>
      </c>
      <c r="F3401">
        <v>9.6</v>
      </c>
      <c r="H3401" t="s">
        <v>5</v>
      </c>
      <c r="I3401" s="1">
        <v>39.83</v>
      </c>
      <c r="J3401" s="1">
        <v>39.83</v>
      </c>
      <c r="K3401" t="s">
        <v>6</v>
      </c>
    </row>
    <row r="3402" spans="1:11">
      <c r="A3402" t="s">
        <v>3284</v>
      </c>
      <c r="B3402">
        <v>370539</v>
      </c>
      <c r="C3402" s="2" t="str">
        <f>"3064"</f>
        <v>3064</v>
      </c>
      <c r="D3402" t="s">
        <v>3504</v>
      </c>
      <c r="E3402" t="s">
        <v>4</v>
      </c>
      <c r="F3402">
        <v>12.1</v>
      </c>
      <c r="H3402" t="s">
        <v>5</v>
      </c>
      <c r="I3402" s="1">
        <v>79.650000000000006</v>
      </c>
      <c r="J3402" s="1">
        <v>79.650000000000006</v>
      </c>
      <c r="K3402" t="s">
        <v>6</v>
      </c>
    </row>
    <row r="3403" spans="1:11">
      <c r="A3403" t="s">
        <v>3284</v>
      </c>
      <c r="B3403">
        <v>370312</v>
      </c>
      <c r="C3403" s="2" t="str">
        <f>"3065"</f>
        <v>3065</v>
      </c>
      <c r="D3403" t="s">
        <v>3505</v>
      </c>
      <c r="E3403" t="s">
        <v>4</v>
      </c>
      <c r="F3403">
        <v>12.6</v>
      </c>
      <c r="H3403" t="s">
        <v>5</v>
      </c>
      <c r="I3403" s="1">
        <v>79.650000000000006</v>
      </c>
      <c r="J3403" s="1">
        <v>79.650000000000006</v>
      </c>
      <c r="K3403" t="s">
        <v>6</v>
      </c>
    </row>
    <row r="3404" spans="1:11">
      <c r="A3404" t="s">
        <v>3284</v>
      </c>
      <c r="B3404">
        <v>373776</v>
      </c>
      <c r="C3404" s="2" t="str">
        <f>"3088"</f>
        <v>3088</v>
      </c>
      <c r="D3404" t="s">
        <v>3506</v>
      </c>
      <c r="E3404" t="s">
        <v>4</v>
      </c>
      <c r="F3404">
        <v>7.3</v>
      </c>
      <c r="H3404" t="s">
        <v>5</v>
      </c>
      <c r="I3404" s="1">
        <v>79.650000000000006</v>
      </c>
      <c r="J3404" s="1">
        <v>79.650000000000006</v>
      </c>
      <c r="K3404" t="s">
        <v>6</v>
      </c>
    </row>
    <row r="3405" spans="1:11">
      <c r="A3405" t="s">
        <v>3284</v>
      </c>
      <c r="B3405">
        <v>385990</v>
      </c>
      <c r="C3405" s="2" t="str">
        <f>"3096"</f>
        <v>3096</v>
      </c>
      <c r="D3405" t="s">
        <v>3507</v>
      </c>
      <c r="E3405" t="s">
        <v>4</v>
      </c>
      <c r="F3405">
        <v>5.9</v>
      </c>
      <c r="H3405" t="s">
        <v>5</v>
      </c>
      <c r="I3405" s="1">
        <v>39.83</v>
      </c>
      <c r="J3405" s="1">
        <v>39.83</v>
      </c>
      <c r="K3405" t="s">
        <v>6</v>
      </c>
    </row>
    <row r="3406" spans="1:11">
      <c r="A3406" t="s">
        <v>3284</v>
      </c>
      <c r="B3406">
        <v>455342</v>
      </c>
      <c r="C3406" s="2" t="str">
        <f>"3211"</f>
        <v>3211</v>
      </c>
      <c r="D3406" t="s">
        <v>3508</v>
      </c>
      <c r="E3406" t="s">
        <v>4</v>
      </c>
      <c r="F3406">
        <v>13.6</v>
      </c>
      <c r="H3406" t="s">
        <v>5</v>
      </c>
      <c r="I3406" s="1">
        <v>98.12</v>
      </c>
      <c r="J3406" s="1">
        <v>98.12</v>
      </c>
      <c r="K3406" t="s">
        <v>6</v>
      </c>
    </row>
    <row r="3407" spans="1:11">
      <c r="A3407" t="s">
        <v>3284</v>
      </c>
      <c r="B3407">
        <v>368805</v>
      </c>
      <c r="C3407" s="2" t="str">
        <f>"3212"</f>
        <v>3212</v>
      </c>
      <c r="D3407" t="s">
        <v>3509</v>
      </c>
      <c r="E3407" t="s">
        <v>4</v>
      </c>
      <c r="F3407">
        <v>29</v>
      </c>
      <c r="H3407" t="s">
        <v>5</v>
      </c>
      <c r="I3407" s="1">
        <v>147.19</v>
      </c>
      <c r="J3407" s="1">
        <v>147.19</v>
      </c>
      <c r="K3407" t="s">
        <v>6</v>
      </c>
    </row>
    <row r="3408" spans="1:11">
      <c r="A3408" t="s">
        <v>3284</v>
      </c>
      <c r="B3408">
        <v>369293</v>
      </c>
      <c r="C3408" s="2" t="str">
        <f>"3228"</f>
        <v>3228</v>
      </c>
      <c r="D3408" t="s">
        <v>3510</v>
      </c>
      <c r="E3408" t="s">
        <v>4</v>
      </c>
      <c r="F3408">
        <v>25</v>
      </c>
      <c r="H3408" t="s">
        <v>5</v>
      </c>
      <c r="I3408" s="1">
        <v>147.19</v>
      </c>
      <c r="J3408" s="1">
        <v>147.19</v>
      </c>
      <c r="K3408" t="s">
        <v>6</v>
      </c>
    </row>
    <row r="3409" spans="1:11">
      <c r="A3409" t="s">
        <v>3284</v>
      </c>
      <c r="B3409">
        <v>370446</v>
      </c>
      <c r="C3409" s="2" t="str">
        <f>"3264"</f>
        <v>3264</v>
      </c>
      <c r="D3409" t="s">
        <v>3511</v>
      </c>
      <c r="E3409" t="s">
        <v>4</v>
      </c>
      <c r="F3409">
        <v>20</v>
      </c>
      <c r="H3409" t="s">
        <v>5</v>
      </c>
      <c r="I3409" s="1">
        <v>147.19</v>
      </c>
      <c r="J3409" s="1">
        <v>147.19</v>
      </c>
      <c r="K3409" t="s">
        <v>6</v>
      </c>
    </row>
    <row r="3410" spans="1:11">
      <c r="A3410" t="s">
        <v>3284</v>
      </c>
      <c r="B3410">
        <v>370352</v>
      </c>
      <c r="C3410" s="2" t="str">
        <f>"32802"</f>
        <v>32802</v>
      </c>
      <c r="D3410" t="s">
        <v>3512</v>
      </c>
      <c r="E3410" t="s">
        <v>4</v>
      </c>
      <c r="F3410">
        <v>22</v>
      </c>
      <c r="H3410" t="s">
        <v>5</v>
      </c>
      <c r="I3410" s="1">
        <v>83.98</v>
      </c>
      <c r="J3410" s="1">
        <v>83.98</v>
      </c>
      <c r="K3410" t="s">
        <v>6</v>
      </c>
    </row>
    <row r="3411" spans="1:11">
      <c r="A3411" t="s">
        <v>3284</v>
      </c>
      <c r="B3411">
        <v>370578</v>
      </c>
      <c r="C3411" s="2" t="str">
        <f>"3312"</f>
        <v>3312</v>
      </c>
      <c r="D3411" t="s">
        <v>3513</v>
      </c>
      <c r="E3411" t="s">
        <v>4</v>
      </c>
      <c r="F3411">
        <v>20.8</v>
      </c>
      <c r="H3411" t="s">
        <v>5</v>
      </c>
      <c r="I3411" s="1">
        <v>128.13999999999999</v>
      </c>
      <c r="J3411" s="1">
        <v>128.13999999999999</v>
      </c>
      <c r="K3411" t="s">
        <v>6</v>
      </c>
    </row>
    <row r="3412" spans="1:11">
      <c r="A3412" t="s">
        <v>3284</v>
      </c>
      <c r="B3412">
        <v>369438</v>
      </c>
      <c r="C3412" s="2" t="str">
        <f>"3364"</f>
        <v>3364</v>
      </c>
      <c r="D3412" t="s">
        <v>3514</v>
      </c>
      <c r="E3412" t="s">
        <v>4</v>
      </c>
      <c r="F3412">
        <v>20</v>
      </c>
      <c r="H3412" t="s">
        <v>5</v>
      </c>
      <c r="I3412" s="1">
        <v>128.13999999999999</v>
      </c>
      <c r="J3412" s="1">
        <v>128.13999999999999</v>
      </c>
      <c r="K3412" t="s">
        <v>6</v>
      </c>
    </row>
    <row r="3413" spans="1:11">
      <c r="A3413" t="s">
        <v>3284</v>
      </c>
      <c r="B3413">
        <v>369442</v>
      </c>
      <c r="C3413" s="2" t="str">
        <f>"3402"</f>
        <v>3402</v>
      </c>
      <c r="D3413" t="s">
        <v>3515</v>
      </c>
      <c r="E3413" t="s">
        <v>4</v>
      </c>
      <c r="F3413">
        <v>16</v>
      </c>
      <c r="H3413" t="s">
        <v>5</v>
      </c>
      <c r="I3413" s="1">
        <v>81.09</v>
      </c>
      <c r="J3413" s="1">
        <v>81.09</v>
      </c>
      <c r="K3413" t="s">
        <v>6</v>
      </c>
    </row>
    <row r="3414" spans="1:11">
      <c r="A3414" t="s">
        <v>3284</v>
      </c>
      <c r="B3414">
        <v>369601</v>
      </c>
      <c r="C3414" s="2" t="str">
        <f>"3403"</f>
        <v>3403</v>
      </c>
      <c r="D3414" t="s">
        <v>3516</v>
      </c>
      <c r="E3414" t="s">
        <v>4</v>
      </c>
      <c r="F3414">
        <v>12.38</v>
      </c>
      <c r="H3414" t="s">
        <v>5</v>
      </c>
      <c r="I3414" s="1">
        <v>62.13</v>
      </c>
      <c r="J3414" s="1">
        <v>62.13</v>
      </c>
      <c r="K3414" t="s">
        <v>6</v>
      </c>
    </row>
    <row r="3415" spans="1:11">
      <c r="A3415" t="s">
        <v>3284</v>
      </c>
      <c r="B3415">
        <v>386111</v>
      </c>
      <c r="C3415" s="2" t="str">
        <f>"3407"</f>
        <v>3407</v>
      </c>
      <c r="D3415" t="s">
        <v>3517</v>
      </c>
      <c r="E3415" t="s">
        <v>4</v>
      </c>
      <c r="F3415">
        <v>9.9499999999999993</v>
      </c>
      <c r="H3415" t="s">
        <v>5</v>
      </c>
      <c r="I3415" s="1">
        <v>58.66</v>
      </c>
      <c r="J3415" s="1">
        <v>58.66</v>
      </c>
      <c r="K3415" t="s">
        <v>6</v>
      </c>
    </row>
    <row r="3416" spans="1:11">
      <c r="A3416" t="s">
        <v>3284</v>
      </c>
      <c r="B3416">
        <v>370162</v>
      </c>
      <c r="C3416" s="2" t="str">
        <f>"3408"</f>
        <v>3408</v>
      </c>
      <c r="D3416" t="s">
        <v>3518</v>
      </c>
      <c r="E3416" t="s">
        <v>4</v>
      </c>
      <c r="F3416">
        <v>11</v>
      </c>
      <c r="H3416" t="s">
        <v>5</v>
      </c>
      <c r="I3416" s="1">
        <v>55.34</v>
      </c>
      <c r="J3416" s="1">
        <v>55.34</v>
      </c>
      <c r="K3416" t="s">
        <v>6</v>
      </c>
    </row>
    <row r="3417" spans="1:11">
      <c r="A3417" t="s">
        <v>3284</v>
      </c>
      <c r="B3417">
        <v>370499</v>
      </c>
      <c r="C3417" s="2" t="str">
        <f>"3556"</f>
        <v>3556</v>
      </c>
      <c r="D3417" t="s">
        <v>3519</v>
      </c>
      <c r="E3417" t="s">
        <v>4</v>
      </c>
      <c r="F3417">
        <v>20</v>
      </c>
      <c r="H3417" t="s">
        <v>5</v>
      </c>
      <c r="I3417" s="1">
        <v>128.13999999999999</v>
      </c>
      <c r="J3417" s="1">
        <v>128.13999999999999</v>
      </c>
      <c r="K3417" t="s">
        <v>6</v>
      </c>
    </row>
    <row r="3418" spans="1:11">
      <c r="A3418" t="s">
        <v>3284</v>
      </c>
      <c r="B3418">
        <v>369420</v>
      </c>
      <c r="C3418" s="2" t="str">
        <f>"3616"</f>
        <v>3616</v>
      </c>
      <c r="D3418" t="s">
        <v>3520</v>
      </c>
      <c r="E3418" t="s">
        <v>4</v>
      </c>
      <c r="F3418">
        <v>9</v>
      </c>
      <c r="H3418" t="s">
        <v>5</v>
      </c>
      <c r="I3418" s="1">
        <v>56.28</v>
      </c>
      <c r="J3418" s="1">
        <v>56.28</v>
      </c>
      <c r="K3418" t="s">
        <v>6</v>
      </c>
    </row>
    <row r="3419" spans="1:11">
      <c r="A3419" t="s">
        <v>3284</v>
      </c>
      <c r="B3419">
        <v>370184</v>
      </c>
      <c r="C3419" s="2" t="str">
        <f>"3617"</f>
        <v>3617</v>
      </c>
      <c r="D3419" t="s">
        <v>3521</v>
      </c>
      <c r="E3419" t="s">
        <v>4</v>
      </c>
      <c r="F3419">
        <v>8.9</v>
      </c>
      <c r="H3419" t="s">
        <v>5</v>
      </c>
      <c r="I3419" s="1">
        <v>48.05</v>
      </c>
      <c r="J3419" s="1">
        <v>48.05</v>
      </c>
      <c r="K3419" t="s">
        <v>6</v>
      </c>
    </row>
    <row r="3420" spans="1:11">
      <c r="A3420" t="s">
        <v>3284</v>
      </c>
      <c r="B3420">
        <v>369262</v>
      </c>
      <c r="C3420" s="2" t="str">
        <f>"3619JS"</f>
        <v>3619JS</v>
      </c>
      <c r="D3420" t="s">
        <v>3522</v>
      </c>
      <c r="E3420" t="s">
        <v>4</v>
      </c>
      <c r="F3420">
        <v>7.3</v>
      </c>
      <c r="H3420" t="s">
        <v>5</v>
      </c>
      <c r="I3420" s="1">
        <v>51.95</v>
      </c>
      <c r="J3420" s="1">
        <v>51.95</v>
      </c>
      <c r="K3420" t="s">
        <v>6</v>
      </c>
    </row>
    <row r="3421" spans="1:11">
      <c r="A3421" t="s">
        <v>3284</v>
      </c>
      <c r="B3421">
        <v>369635</v>
      </c>
      <c r="C3421" s="2" t="str">
        <f>"3620JS"</f>
        <v>3620JS</v>
      </c>
      <c r="D3421" t="s">
        <v>3523</v>
      </c>
      <c r="E3421" t="s">
        <v>4</v>
      </c>
      <c r="F3421">
        <v>7</v>
      </c>
      <c r="H3421" t="s">
        <v>5</v>
      </c>
      <c r="I3421" s="1">
        <v>58.01</v>
      </c>
      <c r="J3421" s="1">
        <v>58.01</v>
      </c>
      <c r="K3421" t="s">
        <v>6</v>
      </c>
    </row>
    <row r="3422" spans="1:11">
      <c r="A3422" t="s">
        <v>3284</v>
      </c>
      <c r="B3422">
        <v>370382</v>
      </c>
      <c r="C3422" s="2" t="str">
        <f>"3623"</f>
        <v>3623</v>
      </c>
      <c r="D3422" t="s">
        <v>3524</v>
      </c>
      <c r="E3422" t="s">
        <v>4</v>
      </c>
      <c r="F3422">
        <v>11.3</v>
      </c>
      <c r="H3422" t="s">
        <v>5</v>
      </c>
      <c r="I3422" s="1">
        <v>60.32</v>
      </c>
      <c r="J3422" s="1">
        <v>60.32</v>
      </c>
      <c r="K3422" t="s">
        <v>6</v>
      </c>
    </row>
    <row r="3423" spans="1:11">
      <c r="A3423" t="s">
        <v>3284</v>
      </c>
      <c r="B3423">
        <v>433733</v>
      </c>
      <c r="C3423" s="2" t="str">
        <f>"3701"</f>
        <v>3701</v>
      </c>
      <c r="D3423" t="s">
        <v>3525</v>
      </c>
      <c r="E3423" t="s">
        <v>4</v>
      </c>
      <c r="F3423">
        <v>3.4</v>
      </c>
      <c r="H3423" t="s">
        <v>5</v>
      </c>
      <c r="I3423" s="1">
        <v>39.83</v>
      </c>
      <c r="J3423" s="1">
        <v>39.83</v>
      </c>
      <c r="K3423" t="s">
        <v>6</v>
      </c>
    </row>
    <row r="3424" spans="1:11">
      <c r="A3424" t="s">
        <v>3284</v>
      </c>
      <c r="B3424">
        <v>369631</v>
      </c>
      <c r="C3424" s="2" t="str">
        <f>"3702"</f>
        <v>3702</v>
      </c>
      <c r="D3424" t="s">
        <v>3526</v>
      </c>
      <c r="E3424" t="s">
        <v>4</v>
      </c>
      <c r="F3424">
        <v>4</v>
      </c>
      <c r="H3424" t="s">
        <v>5</v>
      </c>
      <c r="I3424" s="1">
        <v>25.83</v>
      </c>
      <c r="J3424" s="1">
        <v>25.83</v>
      </c>
      <c r="K3424" t="s">
        <v>6</v>
      </c>
    </row>
    <row r="3425" spans="1:11">
      <c r="A3425" t="s">
        <v>3284</v>
      </c>
      <c r="B3425">
        <v>369332</v>
      </c>
      <c r="C3425" s="2" t="str">
        <f>"3704"</f>
        <v>3704</v>
      </c>
      <c r="D3425" t="s">
        <v>3527</v>
      </c>
      <c r="E3425" t="s">
        <v>4</v>
      </c>
      <c r="F3425">
        <v>11</v>
      </c>
      <c r="H3425" t="s">
        <v>5</v>
      </c>
      <c r="I3425" s="1">
        <v>68.69</v>
      </c>
      <c r="J3425" s="1">
        <v>68.69</v>
      </c>
      <c r="K3425" t="s">
        <v>6</v>
      </c>
    </row>
    <row r="3426" spans="1:11">
      <c r="A3426" t="s">
        <v>3284</v>
      </c>
      <c r="B3426">
        <v>369167</v>
      </c>
      <c r="C3426" s="2" t="str">
        <f>"3705"</f>
        <v>3705</v>
      </c>
      <c r="D3426" t="s">
        <v>3528</v>
      </c>
      <c r="E3426" t="s">
        <v>4</v>
      </c>
      <c r="F3426">
        <v>11</v>
      </c>
      <c r="H3426" t="s">
        <v>5</v>
      </c>
      <c r="I3426" s="1">
        <v>68.69</v>
      </c>
      <c r="J3426" s="1">
        <v>68.69</v>
      </c>
      <c r="K3426" t="s">
        <v>6</v>
      </c>
    </row>
    <row r="3427" spans="1:11">
      <c r="A3427" t="s">
        <v>3284</v>
      </c>
      <c r="B3427">
        <v>369522</v>
      </c>
      <c r="C3427" s="2" t="str">
        <f>"3708"</f>
        <v>3708</v>
      </c>
      <c r="D3427" t="s">
        <v>3529</v>
      </c>
      <c r="E3427" t="s">
        <v>4</v>
      </c>
      <c r="F3427">
        <v>15</v>
      </c>
      <c r="H3427" t="s">
        <v>5</v>
      </c>
      <c r="I3427" s="1">
        <v>76.48</v>
      </c>
      <c r="J3427" s="1">
        <v>76.48</v>
      </c>
      <c r="K3427" t="s">
        <v>6</v>
      </c>
    </row>
    <row r="3428" spans="1:11">
      <c r="A3428" t="s">
        <v>3284</v>
      </c>
      <c r="B3428">
        <v>370327</v>
      </c>
      <c r="C3428" s="2" t="str">
        <f>"3709"</f>
        <v>3709</v>
      </c>
      <c r="D3428" t="s">
        <v>3530</v>
      </c>
      <c r="E3428" t="s">
        <v>4</v>
      </c>
      <c r="F3428">
        <v>9</v>
      </c>
      <c r="H3428" t="s">
        <v>5</v>
      </c>
      <c r="I3428" s="1">
        <v>41.28</v>
      </c>
      <c r="J3428" s="1">
        <v>41.28</v>
      </c>
      <c r="K3428" t="s">
        <v>6</v>
      </c>
    </row>
    <row r="3429" spans="1:11">
      <c r="A3429" t="s">
        <v>3284</v>
      </c>
      <c r="B3429">
        <v>452469</v>
      </c>
      <c r="C3429" s="2" t="str">
        <f>"3711"</f>
        <v>3711</v>
      </c>
      <c r="D3429" t="s">
        <v>3531</v>
      </c>
      <c r="E3429" t="s">
        <v>4</v>
      </c>
      <c r="F3429">
        <v>12.6</v>
      </c>
      <c r="H3429" t="s">
        <v>5</v>
      </c>
      <c r="I3429" s="1">
        <v>76.48</v>
      </c>
      <c r="J3429" s="1">
        <v>76.48</v>
      </c>
      <c r="K3429" t="s">
        <v>6</v>
      </c>
    </row>
    <row r="3430" spans="1:11">
      <c r="A3430" t="s">
        <v>3284</v>
      </c>
      <c r="B3430">
        <v>452220</v>
      </c>
      <c r="C3430" s="2" t="str">
        <f>"3712"</f>
        <v>3712</v>
      </c>
      <c r="D3430" t="s">
        <v>3532</v>
      </c>
      <c r="E3430" t="s">
        <v>4</v>
      </c>
      <c r="F3430">
        <v>13.6</v>
      </c>
      <c r="H3430" t="s">
        <v>5</v>
      </c>
      <c r="I3430" s="1">
        <v>76.48</v>
      </c>
      <c r="J3430" s="1">
        <v>76.48</v>
      </c>
      <c r="K3430" t="s">
        <v>6</v>
      </c>
    </row>
    <row r="3431" spans="1:11">
      <c r="A3431" t="s">
        <v>3284</v>
      </c>
      <c r="B3431">
        <v>369229</v>
      </c>
      <c r="C3431" s="2" t="str">
        <f>"3715"</f>
        <v>3715</v>
      </c>
      <c r="D3431" t="s">
        <v>3533</v>
      </c>
      <c r="E3431" t="s">
        <v>4</v>
      </c>
      <c r="F3431">
        <v>14</v>
      </c>
      <c r="H3431" t="s">
        <v>5</v>
      </c>
      <c r="I3431" s="1">
        <v>97.84</v>
      </c>
      <c r="J3431" s="1">
        <v>97.84</v>
      </c>
      <c r="K3431" t="s">
        <v>6</v>
      </c>
    </row>
    <row r="3432" spans="1:11">
      <c r="A3432" t="s">
        <v>3284</v>
      </c>
      <c r="B3432">
        <v>370115</v>
      </c>
      <c r="C3432" s="2" t="str">
        <f>"3716"</f>
        <v>3716</v>
      </c>
      <c r="D3432" t="s">
        <v>3534</v>
      </c>
      <c r="E3432" t="s">
        <v>4</v>
      </c>
      <c r="F3432">
        <v>26.9</v>
      </c>
      <c r="H3432" t="s">
        <v>5</v>
      </c>
      <c r="I3432" s="1">
        <v>120.34</v>
      </c>
      <c r="J3432" s="1">
        <v>120.34</v>
      </c>
      <c r="K3432" t="s">
        <v>6</v>
      </c>
    </row>
    <row r="3433" spans="1:11">
      <c r="A3433" t="s">
        <v>3284</v>
      </c>
      <c r="B3433">
        <v>369172</v>
      </c>
      <c r="C3433" s="2" t="str">
        <f>"3717"</f>
        <v>3717</v>
      </c>
      <c r="D3433" t="s">
        <v>3535</v>
      </c>
      <c r="E3433" t="s">
        <v>4</v>
      </c>
      <c r="F3433">
        <v>7</v>
      </c>
      <c r="H3433" t="s">
        <v>5</v>
      </c>
      <c r="I3433" s="1">
        <v>48.92</v>
      </c>
      <c r="J3433" s="1">
        <v>48.92</v>
      </c>
      <c r="K3433" t="s">
        <v>6</v>
      </c>
    </row>
    <row r="3434" spans="1:11">
      <c r="A3434" t="s">
        <v>3284</v>
      </c>
      <c r="B3434">
        <v>370569</v>
      </c>
      <c r="C3434" s="2" t="str">
        <f>"37179"</f>
        <v>37179</v>
      </c>
      <c r="D3434" t="s">
        <v>3536</v>
      </c>
      <c r="E3434" t="s">
        <v>4</v>
      </c>
      <c r="F3434">
        <v>6.8</v>
      </c>
      <c r="H3434" t="s">
        <v>5</v>
      </c>
      <c r="I3434" s="1">
        <v>51.38</v>
      </c>
      <c r="J3434" s="1">
        <v>51.38</v>
      </c>
      <c r="K3434" t="s">
        <v>6</v>
      </c>
    </row>
    <row r="3435" spans="1:11">
      <c r="A3435" t="s">
        <v>3284</v>
      </c>
      <c r="B3435">
        <v>369195</v>
      </c>
      <c r="C3435" s="2" t="str">
        <f>"3721"</f>
        <v>3721</v>
      </c>
      <c r="D3435" t="s">
        <v>3537</v>
      </c>
      <c r="E3435" t="s">
        <v>4</v>
      </c>
      <c r="F3435">
        <v>20</v>
      </c>
      <c r="H3435" t="s">
        <v>5</v>
      </c>
      <c r="I3435" s="1">
        <v>120.34</v>
      </c>
      <c r="J3435" s="1">
        <v>120.34</v>
      </c>
      <c r="K3435" t="s">
        <v>6</v>
      </c>
    </row>
    <row r="3436" spans="1:11">
      <c r="A3436" t="s">
        <v>3284</v>
      </c>
      <c r="B3436">
        <v>370899</v>
      </c>
      <c r="C3436" s="2" t="str">
        <f>"3725"</f>
        <v>3725</v>
      </c>
      <c r="D3436" t="s">
        <v>3538</v>
      </c>
      <c r="E3436" t="s">
        <v>4</v>
      </c>
      <c r="F3436">
        <v>22</v>
      </c>
      <c r="H3436" t="s">
        <v>5</v>
      </c>
      <c r="I3436" s="1">
        <v>114.71</v>
      </c>
      <c r="J3436" s="1">
        <v>114.71</v>
      </c>
      <c r="K3436" t="s">
        <v>6</v>
      </c>
    </row>
    <row r="3437" spans="1:11">
      <c r="A3437" t="s">
        <v>3284</v>
      </c>
      <c r="B3437">
        <v>438414</v>
      </c>
      <c r="C3437" s="2" t="str">
        <f>"3727"</f>
        <v>3727</v>
      </c>
      <c r="D3437" t="s">
        <v>3539</v>
      </c>
      <c r="E3437" t="s">
        <v>4</v>
      </c>
      <c r="F3437">
        <v>11.5</v>
      </c>
      <c r="H3437" t="s">
        <v>5</v>
      </c>
      <c r="I3437" s="1">
        <v>76.48</v>
      </c>
      <c r="J3437" s="1">
        <v>76.48</v>
      </c>
      <c r="K3437" t="s">
        <v>6</v>
      </c>
    </row>
    <row r="3438" spans="1:11">
      <c r="A3438" t="s">
        <v>3284</v>
      </c>
      <c r="B3438">
        <v>452225</v>
      </c>
      <c r="C3438" s="2" t="str">
        <f>"3728"</f>
        <v>3728</v>
      </c>
      <c r="D3438" t="s">
        <v>3540</v>
      </c>
      <c r="E3438" t="s">
        <v>4</v>
      </c>
      <c r="F3438">
        <v>14</v>
      </c>
      <c r="H3438" t="s">
        <v>5</v>
      </c>
      <c r="I3438" s="1">
        <v>76.48</v>
      </c>
      <c r="J3438" s="1">
        <v>76.48</v>
      </c>
      <c r="K3438" t="s">
        <v>6</v>
      </c>
    </row>
    <row r="3439" spans="1:11">
      <c r="A3439" t="s">
        <v>3284</v>
      </c>
      <c r="B3439">
        <v>453268</v>
      </c>
      <c r="C3439" s="2" t="str">
        <f>"3730"</f>
        <v>3730</v>
      </c>
      <c r="D3439" t="s">
        <v>3541</v>
      </c>
      <c r="E3439" t="s">
        <v>4</v>
      </c>
      <c r="F3439">
        <v>14.3</v>
      </c>
      <c r="H3439" t="s">
        <v>5</v>
      </c>
      <c r="I3439" s="1">
        <v>76.48</v>
      </c>
      <c r="J3439" s="1">
        <v>76.48</v>
      </c>
      <c r="K3439" t="s">
        <v>6</v>
      </c>
    </row>
    <row r="3440" spans="1:11">
      <c r="A3440" t="s">
        <v>3284</v>
      </c>
      <c r="B3440">
        <v>417899</v>
      </c>
      <c r="C3440" s="2" t="str">
        <f>"3733"</f>
        <v>3733</v>
      </c>
      <c r="D3440" t="s">
        <v>3542</v>
      </c>
      <c r="E3440" t="s">
        <v>4</v>
      </c>
      <c r="F3440">
        <v>7.4</v>
      </c>
      <c r="H3440" t="s">
        <v>5</v>
      </c>
      <c r="I3440" s="1">
        <v>38.25</v>
      </c>
      <c r="J3440" s="1">
        <v>38.25</v>
      </c>
      <c r="K3440" t="s">
        <v>6</v>
      </c>
    </row>
    <row r="3441" spans="1:11">
      <c r="A3441" t="s">
        <v>3284</v>
      </c>
      <c r="B3441">
        <v>411567</v>
      </c>
      <c r="C3441" s="2" t="str">
        <f>"37339"</f>
        <v>37339</v>
      </c>
      <c r="D3441" t="s">
        <v>3543</v>
      </c>
      <c r="E3441" t="s">
        <v>4</v>
      </c>
      <c r="F3441">
        <v>7.4</v>
      </c>
      <c r="H3441" t="s">
        <v>5</v>
      </c>
      <c r="I3441" s="1">
        <v>43.29</v>
      </c>
      <c r="J3441" s="1">
        <v>43.29</v>
      </c>
      <c r="K3441" t="s">
        <v>6</v>
      </c>
    </row>
    <row r="3442" spans="1:11">
      <c r="A3442" t="s">
        <v>3284</v>
      </c>
      <c r="B3442">
        <v>453245</v>
      </c>
      <c r="C3442" s="2" t="str">
        <f>"3736"</f>
        <v>3736</v>
      </c>
      <c r="D3442" t="s">
        <v>3544</v>
      </c>
      <c r="E3442" t="s">
        <v>4</v>
      </c>
      <c r="F3442">
        <v>13.6</v>
      </c>
      <c r="H3442" t="s">
        <v>5</v>
      </c>
      <c r="I3442" s="1">
        <v>76.48</v>
      </c>
      <c r="J3442" s="1">
        <v>76.48</v>
      </c>
      <c r="K3442" t="s">
        <v>6</v>
      </c>
    </row>
    <row r="3443" spans="1:11">
      <c r="A3443" t="s">
        <v>3284</v>
      </c>
      <c r="B3443">
        <v>450264</v>
      </c>
      <c r="C3443" s="2" t="str">
        <f>"3737"</f>
        <v>3737</v>
      </c>
      <c r="D3443" t="s">
        <v>3545</v>
      </c>
      <c r="E3443" t="s">
        <v>4</v>
      </c>
      <c r="F3443">
        <v>14</v>
      </c>
      <c r="H3443" t="s">
        <v>5</v>
      </c>
      <c r="I3443" s="1">
        <v>76.48</v>
      </c>
      <c r="J3443" s="1">
        <v>76.48</v>
      </c>
      <c r="K3443" t="s">
        <v>6</v>
      </c>
    </row>
    <row r="3444" spans="1:11">
      <c r="A3444" t="s">
        <v>3284</v>
      </c>
      <c r="B3444">
        <v>454341</v>
      </c>
      <c r="C3444" s="2" t="str">
        <f>"3746"</f>
        <v>3746</v>
      </c>
      <c r="D3444" t="s">
        <v>3546</v>
      </c>
      <c r="E3444" t="s">
        <v>4</v>
      </c>
      <c r="F3444">
        <v>12</v>
      </c>
      <c r="H3444" t="s">
        <v>5</v>
      </c>
      <c r="I3444" s="1">
        <v>76.48</v>
      </c>
      <c r="J3444" s="1">
        <v>76.48</v>
      </c>
      <c r="K3444" t="s">
        <v>6</v>
      </c>
    </row>
    <row r="3445" spans="1:11">
      <c r="A3445" t="s">
        <v>3284</v>
      </c>
      <c r="B3445">
        <v>453264</v>
      </c>
      <c r="C3445" s="2" t="str">
        <f>"3747"</f>
        <v>3747</v>
      </c>
      <c r="D3445" t="s">
        <v>3547</v>
      </c>
      <c r="E3445" t="s">
        <v>4</v>
      </c>
      <c r="F3445">
        <v>12.9</v>
      </c>
      <c r="H3445" t="s">
        <v>5</v>
      </c>
      <c r="I3445" s="1">
        <v>76.48</v>
      </c>
      <c r="J3445" s="1">
        <v>76.48</v>
      </c>
      <c r="K3445" t="s">
        <v>6</v>
      </c>
    </row>
    <row r="3446" spans="1:11">
      <c r="A3446" t="s">
        <v>3284</v>
      </c>
      <c r="B3446">
        <v>372891</v>
      </c>
      <c r="C3446" s="2" t="str">
        <f>"3750"</f>
        <v>3750</v>
      </c>
      <c r="D3446" t="s">
        <v>3548</v>
      </c>
      <c r="E3446" t="s">
        <v>4</v>
      </c>
      <c r="F3446">
        <v>27.9</v>
      </c>
      <c r="H3446" t="s">
        <v>5</v>
      </c>
      <c r="I3446" s="1">
        <v>120.34</v>
      </c>
      <c r="J3446" s="1">
        <v>120.34</v>
      </c>
      <c r="K3446" t="s">
        <v>6</v>
      </c>
    </row>
    <row r="3447" spans="1:11">
      <c r="A3447" t="s">
        <v>3284</v>
      </c>
      <c r="B3447">
        <v>453254</v>
      </c>
      <c r="C3447" s="2" t="str">
        <f>"3752HT"</f>
        <v>3752HT</v>
      </c>
      <c r="D3447" t="s">
        <v>3549</v>
      </c>
      <c r="E3447" t="s">
        <v>4</v>
      </c>
      <c r="F3447">
        <v>13.6</v>
      </c>
      <c r="H3447" t="s">
        <v>5</v>
      </c>
      <c r="I3447" s="1">
        <v>83.12</v>
      </c>
      <c r="J3447" s="1">
        <v>83.12</v>
      </c>
      <c r="K3447" t="s">
        <v>6</v>
      </c>
    </row>
    <row r="3448" spans="1:11">
      <c r="A3448" t="s">
        <v>3284</v>
      </c>
      <c r="B3448">
        <v>452223</v>
      </c>
      <c r="C3448" s="2" t="str">
        <f>"3756"</f>
        <v>3756</v>
      </c>
      <c r="D3448" t="s">
        <v>3550</v>
      </c>
      <c r="E3448" t="s">
        <v>4</v>
      </c>
      <c r="F3448">
        <v>13.1</v>
      </c>
      <c r="H3448" t="s">
        <v>5</v>
      </c>
      <c r="I3448" s="1">
        <v>76.48</v>
      </c>
      <c r="J3448" s="1">
        <v>76.48</v>
      </c>
      <c r="K3448" t="s">
        <v>6</v>
      </c>
    </row>
    <row r="3449" spans="1:11">
      <c r="A3449" t="s">
        <v>3284</v>
      </c>
      <c r="B3449">
        <v>368727</v>
      </c>
      <c r="C3449" s="2" t="str">
        <f>"3757"</f>
        <v>3757</v>
      </c>
      <c r="D3449" t="s">
        <v>3551</v>
      </c>
      <c r="E3449" t="s">
        <v>4</v>
      </c>
      <c r="F3449">
        <v>19.100000000000001</v>
      </c>
      <c r="H3449" t="s">
        <v>5</v>
      </c>
      <c r="I3449" s="1">
        <v>114.71</v>
      </c>
      <c r="J3449" s="1">
        <v>114.71</v>
      </c>
      <c r="K3449" t="s">
        <v>6</v>
      </c>
    </row>
    <row r="3450" spans="1:11">
      <c r="A3450" t="s">
        <v>3284</v>
      </c>
      <c r="B3450">
        <v>452222</v>
      </c>
      <c r="C3450" s="2" t="str">
        <f>"3764"</f>
        <v>3764</v>
      </c>
      <c r="D3450" t="s">
        <v>3552</v>
      </c>
      <c r="E3450" t="s">
        <v>4</v>
      </c>
      <c r="F3450">
        <v>11.1</v>
      </c>
      <c r="H3450" t="s">
        <v>5</v>
      </c>
      <c r="I3450" s="1">
        <v>76.48</v>
      </c>
      <c r="J3450" s="1">
        <v>76.48</v>
      </c>
      <c r="K3450" t="s">
        <v>6</v>
      </c>
    </row>
    <row r="3451" spans="1:11">
      <c r="A3451" t="s">
        <v>3284</v>
      </c>
      <c r="B3451">
        <v>452921</v>
      </c>
      <c r="C3451" s="2" t="str">
        <f>"3765"</f>
        <v>3765</v>
      </c>
      <c r="D3451" t="s">
        <v>3553</v>
      </c>
      <c r="E3451" t="s">
        <v>4</v>
      </c>
      <c r="F3451">
        <v>11.8</v>
      </c>
      <c r="H3451" t="s">
        <v>5</v>
      </c>
      <c r="I3451" s="1">
        <v>76.48</v>
      </c>
      <c r="J3451" s="1">
        <v>76.48</v>
      </c>
      <c r="K3451" t="s">
        <v>6</v>
      </c>
    </row>
    <row r="3452" spans="1:11">
      <c r="A3452" t="s">
        <v>3284</v>
      </c>
      <c r="B3452">
        <v>368807</v>
      </c>
      <c r="C3452" s="2" t="str">
        <f>"3766"</f>
        <v>3766</v>
      </c>
      <c r="D3452" t="s">
        <v>3554</v>
      </c>
      <c r="E3452" t="s">
        <v>4</v>
      </c>
      <c r="F3452">
        <v>14.2</v>
      </c>
      <c r="H3452" t="s">
        <v>5</v>
      </c>
      <c r="I3452" s="1">
        <v>114.71</v>
      </c>
      <c r="J3452" s="1">
        <v>114.71</v>
      </c>
      <c r="K3452" t="s">
        <v>6</v>
      </c>
    </row>
    <row r="3453" spans="1:11">
      <c r="A3453" t="s">
        <v>3284</v>
      </c>
      <c r="B3453">
        <v>455743</v>
      </c>
      <c r="C3453" s="2" t="str">
        <f>"3769"</f>
        <v>3769</v>
      </c>
      <c r="D3453" t="s">
        <v>3555</v>
      </c>
      <c r="E3453" t="s">
        <v>4</v>
      </c>
      <c r="F3453">
        <v>9.8000000000000007</v>
      </c>
      <c r="H3453" t="s">
        <v>5</v>
      </c>
      <c r="I3453" s="1">
        <v>76.48</v>
      </c>
      <c r="J3453" s="1">
        <v>76.48</v>
      </c>
      <c r="K3453" t="s">
        <v>6</v>
      </c>
    </row>
    <row r="3454" spans="1:11">
      <c r="A3454" t="s">
        <v>3284</v>
      </c>
      <c r="B3454">
        <v>369464</v>
      </c>
      <c r="C3454" s="2" t="str">
        <f>"3770"</f>
        <v>3770</v>
      </c>
      <c r="D3454" t="s">
        <v>3556</v>
      </c>
      <c r="E3454" t="s">
        <v>4</v>
      </c>
      <c r="F3454">
        <v>13</v>
      </c>
      <c r="H3454" t="s">
        <v>5</v>
      </c>
      <c r="I3454" s="1">
        <v>114.71</v>
      </c>
      <c r="J3454" s="1">
        <v>114.71</v>
      </c>
      <c r="K3454" t="s">
        <v>6</v>
      </c>
    </row>
    <row r="3455" spans="1:11">
      <c r="A3455" t="s">
        <v>3284</v>
      </c>
      <c r="B3455">
        <v>369269</v>
      </c>
      <c r="C3455" s="2" t="str">
        <f>"3771"</f>
        <v>3771</v>
      </c>
      <c r="D3455" t="s">
        <v>3557</v>
      </c>
      <c r="E3455" t="s">
        <v>4</v>
      </c>
      <c r="F3455">
        <v>16</v>
      </c>
      <c r="H3455" t="s">
        <v>5</v>
      </c>
      <c r="I3455" s="1">
        <v>114.71</v>
      </c>
      <c r="J3455" s="1">
        <v>114.71</v>
      </c>
      <c r="K3455" t="s">
        <v>6</v>
      </c>
    </row>
    <row r="3456" spans="1:11">
      <c r="A3456" t="s">
        <v>3284</v>
      </c>
      <c r="B3456">
        <v>369646</v>
      </c>
      <c r="C3456" s="2" t="str">
        <f>"37719"</f>
        <v>37719</v>
      </c>
      <c r="D3456" t="s">
        <v>3558</v>
      </c>
      <c r="E3456" t="s">
        <v>4</v>
      </c>
      <c r="F3456">
        <v>5.5</v>
      </c>
      <c r="H3456" t="s">
        <v>5</v>
      </c>
      <c r="I3456" s="1">
        <v>43.29</v>
      </c>
      <c r="J3456" s="1">
        <v>43.29</v>
      </c>
      <c r="K3456" t="s">
        <v>6</v>
      </c>
    </row>
    <row r="3457" spans="1:11">
      <c r="A3457" t="s">
        <v>3284</v>
      </c>
      <c r="B3457">
        <v>369160</v>
      </c>
      <c r="C3457" s="2" t="str">
        <f>"3773"</f>
        <v>3773</v>
      </c>
      <c r="D3457" t="s">
        <v>3559</v>
      </c>
      <c r="E3457" t="s">
        <v>4</v>
      </c>
      <c r="F3457">
        <v>9.9</v>
      </c>
      <c r="H3457" t="s">
        <v>5</v>
      </c>
      <c r="I3457" s="1">
        <v>114.71</v>
      </c>
      <c r="J3457" s="1">
        <v>114.71</v>
      </c>
      <c r="K3457" t="s">
        <v>6</v>
      </c>
    </row>
    <row r="3458" spans="1:11">
      <c r="A3458" t="s">
        <v>3284</v>
      </c>
      <c r="B3458">
        <v>370272</v>
      </c>
      <c r="C3458" s="2" t="str">
        <f>"3775"</f>
        <v>3775</v>
      </c>
      <c r="D3458" t="s">
        <v>3560</v>
      </c>
      <c r="E3458" t="s">
        <v>4</v>
      </c>
      <c r="F3458">
        <v>13</v>
      </c>
      <c r="H3458" t="s">
        <v>5</v>
      </c>
      <c r="I3458" s="1">
        <v>114.71</v>
      </c>
      <c r="J3458" s="1">
        <v>114.71</v>
      </c>
      <c r="K3458" t="s">
        <v>6</v>
      </c>
    </row>
    <row r="3459" spans="1:11">
      <c r="A3459" t="s">
        <v>3284</v>
      </c>
      <c r="B3459">
        <v>368674</v>
      </c>
      <c r="C3459" s="2" t="str">
        <f>"3777"</f>
        <v>3777</v>
      </c>
      <c r="D3459" t="s">
        <v>3561</v>
      </c>
      <c r="E3459" t="s">
        <v>4</v>
      </c>
      <c r="F3459">
        <v>13.5</v>
      </c>
      <c r="H3459" t="s">
        <v>5</v>
      </c>
      <c r="I3459" s="1">
        <v>114.71</v>
      </c>
      <c r="J3459" s="1">
        <v>114.71</v>
      </c>
      <c r="K3459" t="s">
        <v>6</v>
      </c>
    </row>
    <row r="3460" spans="1:11">
      <c r="A3460" t="s">
        <v>3284</v>
      </c>
      <c r="B3460">
        <v>370183</v>
      </c>
      <c r="C3460" s="2" t="str">
        <f>"3779"</f>
        <v>3779</v>
      </c>
      <c r="D3460" t="s">
        <v>3562</v>
      </c>
      <c r="E3460" t="s">
        <v>4</v>
      </c>
      <c r="F3460">
        <v>7.1</v>
      </c>
      <c r="H3460" t="s">
        <v>5</v>
      </c>
      <c r="I3460" s="1">
        <v>38.25</v>
      </c>
      <c r="J3460" s="1">
        <v>38.25</v>
      </c>
      <c r="K3460" t="s">
        <v>6</v>
      </c>
    </row>
    <row r="3461" spans="1:11">
      <c r="A3461" t="s">
        <v>3284</v>
      </c>
      <c r="B3461">
        <v>369603</v>
      </c>
      <c r="C3461" s="2" t="str">
        <f>"37799"</f>
        <v>37799</v>
      </c>
      <c r="D3461" t="s">
        <v>3563</v>
      </c>
      <c r="E3461" t="s">
        <v>4</v>
      </c>
      <c r="F3461">
        <v>7.1</v>
      </c>
      <c r="H3461" t="s">
        <v>5</v>
      </c>
      <c r="I3461" s="1">
        <v>43.29</v>
      </c>
      <c r="J3461" s="1">
        <v>43.29</v>
      </c>
      <c r="K3461" t="s">
        <v>6</v>
      </c>
    </row>
    <row r="3462" spans="1:11">
      <c r="A3462" t="s">
        <v>3284</v>
      </c>
      <c r="B3462">
        <v>369372</v>
      </c>
      <c r="C3462" s="2" t="str">
        <f>"3787"</f>
        <v>3787</v>
      </c>
      <c r="D3462" t="s">
        <v>3564</v>
      </c>
      <c r="E3462" t="s">
        <v>4</v>
      </c>
      <c r="F3462">
        <v>14</v>
      </c>
      <c r="H3462" t="s">
        <v>5</v>
      </c>
      <c r="I3462" s="1">
        <v>114.71</v>
      </c>
      <c r="J3462" s="1">
        <v>114.71</v>
      </c>
      <c r="K3462" t="s">
        <v>6</v>
      </c>
    </row>
    <row r="3463" spans="1:11">
      <c r="A3463" t="s">
        <v>3284</v>
      </c>
      <c r="B3463">
        <v>450753</v>
      </c>
      <c r="C3463" s="2" t="str">
        <f>"3788"</f>
        <v>3788</v>
      </c>
      <c r="D3463" t="s">
        <v>3565</v>
      </c>
      <c r="E3463" t="s">
        <v>4</v>
      </c>
      <c r="F3463">
        <v>4</v>
      </c>
      <c r="H3463" t="s">
        <v>5</v>
      </c>
      <c r="I3463" s="1">
        <v>38.25</v>
      </c>
      <c r="J3463" s="1">
        <v>38.25</v>
      </c>
      <c r="K3463" t="s">
        <v>6</v>
      </c>
    </row>
    <row r="3464" spans="1:11">
      <c r="A3464" t="s">
        <v>3284</v>
      </c>
      <c r="B3464">
        <v>370412</v>
      </c>
      <c r="C3464" s="2" t="str">
        <f>"3790"</f>
        <v>3790</v>
      </c>
      <c r="D3464" t="s">
        <v>3566</v>
      </c>
      <c r="E3464" t="s">
        <v>4</v>
      </c>
      <c r="F3464">
        <v>6</v>
      </c>
      <c r="H3464" t="s">
        <v>5</v>
      </c>
      <c r="I3464" s="1">
        <v>114.71</v>
      </c>
      <c r="J3464" s="1">
        <v>114.71</v>
      </c>
      <c r="K3464" t="s">
        <v>6</v>
      </c>
    </row>
    <row r="3465" spans="1:11">
      <c r="A3465" t="s">
        <v>3284</v>
      </c>
      <c r="B3465">
        <v>370240</v>
      </c>
      <c r="C3465" s="2" t="str">
        <f>"3792"</f>
        <v>3792</v>
      </c>
      <c r="D3465" t="s">
        <v>3567</v>
      </c>
      <c r="E3465" t="s">
        <v>4</v>
      </c>
      <c r="F3465">
        <v>2.1</v>
      </c>
      <c r="H3465" t="s">
        <v>5</v>
      </c>
      <c r="I3465" s="1">
        <v>38.25</v>
      </c>
      <c r="J3465" s="1">
        <v>38.25</v>
      </c>
      <c r="K3465" t="s">
        <v>6</v>
      </c>
    </row>
    <row r="3466" spans="1:11">
      <c r="A3466" t="s">
        <v>3284</v>
      </c>
      <c r="B3466">
        <v>370494</v>
      </c>
      <c r="C3466" s="2" t="str">
        <f>"3793"</f>
        <v>3793</v>
      </c>
      <c r="D3466" t="s">
        <v>3568</v>
      </c>
      <c r="E3466" t="s">
        <v>4</v>
      </c>
      <c r="F3466">
        <v>2.1</v>
      </c>
      <c r="H3466" t="s">
        <v>5</v>
      </c>
      <c r="I3466" s="1">
        <v>38.25</v>
      </c>
      <c r="J3466" s="1">
        <v>38.25</v>
      </c>
      <c r="K3466" t="s">
        <v>6</v>
      </c>
    </row>
    <row r="3467" spans="1:11">
      <c r="A3467" t="s">
        <v>3284</v>
      </c>
      <c r="B3467">
        <v>369555</v>
      </c>
      <c r="C3467" s="2" t="str">
        <f>"3794"</f>
        <v>3794</v>
      </c>
      <c r="D3467" t="s">
        <v>3569</v>
      </c>
      <c r="E3467" t="s">
        <v>4</v>
      </c>
      <c r="F3467">
        <v>5</v>
      </c>
      <c r="H3467" t="s">
        <v>5</v>
      </c>
      <c r="I3467" s="1">
        <v>38.25</v>
      </c>
      <c r="J3467" s="1">
        <v>38.25</v>
      </c>
      <c r="K3467" t="s">
        <v>6</v>
      </c>
    </row>
    <row r="3468" spans="1:11">
      <c r="A3468" t="s">
        <v>3284</v>
      </c>
      <c r="B3468">
        <v>369175</v>
      </c>
      <c r="C3468" s="2" t="str">
        <f>"3795"</f>
        <v>3795</v>
      </c>
      <c r="D3468" t="s">
        <v>3570</v>
      </c>
      <c r="E3468" t="s">
        <v>4</v>
      </c>
      <c r="F3468">
        <v>6</v>
      </c>
      <c r="H3468" t="s">
        <v>5</v>
      </c>
      <c r="I3468" s="1">
        <v>38.25</v>
      </c>
      <c r="J3468" s="1">
        <v>38.25</v>
      </c>
      <c r="K3468" t="s">
        <v>6</v>
      </c>
    </row>
    <row r="3469" spans="1:11">
      <c r="A3469" t="s">
        <v>3284</v>
      </c>
      <c r="B3469">
        <v>369308</v>
      </c>
      <c r="C3469" s="2" t="str">
        <f>"3796"</f>
        <v>3796</v>
      </c>
      <c r="D3469" t="s">
        <v>3571</v>
      </c>
      <c r="E3469" t="s">
        <v>4</v>
      </c>
      <c r="F3469">
        <v>6</v>
      </c>
      <c r="H3469" t="s">
        <v>5</v>
      </c>
      <c r="I3469" s="1">
        <v>40.119999999999997</v>
      </c>
      <c r="J3469" s="1">
        <v>40.119999999999997</v>
      </c>
      <c r="K3469" t="s">
        <v>6</v>
      </c>
    </row>
    <row r="3470" spans="1:11">
      <c r="A3470" t="s">
        <v>3284</v>
      </c>
      <c r="B3470">
        <v>502249</v>
      </c>
      <c r="C3470" s="2" t="str">
        <f>"3804"</f>
        <v>3804</v>
      </c>
      <c r="D3470" t="s">
        <v>3572</v>
      </c>
      <c r="E3470" t="s">
        <v>4</v>
      </c>
      <c r="F3470">
        <v>14.9</v>
      </c>
      <c r="H3470" t="s">
        <v>5</v>
      </c>
      <c r="I3470" s="1">
        <v>76.48</v>
      </c>
      <c r="J3470" s="1">
        <v>76.48</v>
      </c>
      <c r="K3470" t="s">
        <v>6</v>
      </c>
    </row>
    <row r="3471" spans="1:11">
      <c r="A3471" t="s">
        <v>3284</v>
      </c>
      <c r="B3471">
        <v>369540</v>
      </c>
      <c r="C3471" s="2" t="str">
        <f>"3810"</f>
        <v>3810</v>
      </c>
      <c r="D3471" t="s">
        <v>3573</v>
      </c>
      <c r="E3471" t="s">
        <v>4</v>
      </c>
      <c r="F3471">
        <v>23.4</v>
      </c>
      <c r="H3471" t="s">
        <v>5</v>
      </c>
      <c r="I3471" s="1">
        <v>116.45</v>
      </c>
      <c r="J3471" s="1">
        <v>116.45</v>
      </c>
      <c r="K3471" t="s">
        <v>6</v>
      </c>
    </row>
    <row r="3472" spans="1:11">
      <c r="A3472" t="s">
        <v>3284</v>
      </c>
      <c r="B3472">
        <v>370269</v>
      </c>
      <c r="C3472" s="2" t="str">
        <f>"3812"</f>
        <v>3812</v>
      </c>
      <c r="D3472" t="s">
        <v>3574</v>
      </c>
      <c r="E3472" t="s">
        <v>4</v>
      </c>
      <c r="F3472">
        <v>24</v>
      </c>
      <c r="H3472" t="s">
        <v>5</v>
      </c>
      <c r="I3472" s="1">
        <v>116.45</v>
      </c>
      <c r="J3472" s="1">
        <v>116.45</v>
      </c>
      <c r="K3472" t="s">
        <v>6</v>
      </c>
    </row>
    <row r="3473" spans="1:11">
      <c r="A3473" t="s">
        <v>3284</v>
      </c>
      <c r="B3473">
        <v>370281</v>
      </c>
      <c r="C3473" s="2" t="str">
        <f>"3815"</f>
        <v>3815</v>
      </c>
      <c r="D3473" t="s">
        <v>3575</v>
      </c>
      <c r="E3473" t="s">
        <v>4</v>
      </c>
      <c r="F3473">
        <v>22.3</v>
      </c>
      <c r="H3473" t="s">
        <v>5</v>
      </c>
      <c r="I3473" s="1">
        <v>115.44</v>
      </c>
      <c r="J3473" s="1">
        <v>115.44</v>
      </c>
      <c r="K3473" t="s">
        <v>6</v>
      </c>
    </row>
    <row r="3474" spans="1:11">
      <c r="A3474" t="s">
        <v>3284</v>
      </c>
      <c r="B3474">
        <v>370497</v>
      </c>
      <c r="C3474" s="2" t="str">
        <f>"3820"</f>
        <v>3820</v>
      </c>
      <c r="D3474" t="s">
        <v>3576</v>
      </c>
      <c r="E3474" t="s">
        <v>4</v>
      </c>
      <c r="F3474">
        <v>22.3</v>
      </c>
      <c r="H3474" t="s">
        <v>5</v>
      </c>
      <c r="I3474" s="1">
        <v>139.4</v>
      </c>
      <c r="J3474" s="1">
        <v>139.4</v>
      </c>
      <c r="K3474" t="s">
        <v>6</v>
      </c>
    </row>
    <row r="3475" spans="1:11">
      <c r="A3475" t="s">
        <v>3284</v>
      </c>
      <c r="B3475">
        <v>370268</v>
      </c>
      <c r="C3475" s="2" t="str">
        <f>"3821"</f>
        <v>3821</v>
      </c>
      <c r="D3475" t="s">
        <v>3577</v>
      </c>
      <c r="E3475" t="s">
        <v>4</v>
      </c>
      <c r="F3475">
        <v>28</v>
      </c>
      <c r="H3475" t="s">
        <v>5</v>
      </c>
      <c r="I3475" s="1">
        <v>139.4</v>
      </c>
      <c r="J3475" s="1">
        <v>139.4</v>
      </c>
      <c r="K3475" t="s">
        <v>6</v>
      </c>
    </row>
    <row r="3476" spans="1:11">
      <c r="A3476" t="s">
        <v>3284</v>
      </c>
      <c r="B3476">
        <v>369502</v>
      </c>
      <c r="C3476" s="2" t="str">
        <f>"3823"</f>
        <v>3823</v>
      </c>
      <c r="D3476" t="s">
        <v>3578</v>
      </c>
      <c r="E3476" t="s">
        <v>4</v>
      </c>
      <c r="F3476">
        <v>24.5</v>
      </c>
      <c r="H3476" t="s">
        <v>5</v>
      </c>
      <c r="I3476" s="1">
        <v>115.44</v>
      </c>
      <c r="J3476" s="1">
        <v>115.44</v>
      </c>
      <c r="K3476" t="s">
        <v>6</v>
      </c>
    </row>
    <row r="3477" spans="1:11">
      <c r="A3477" t="s">
        <v>3284</v>
      </c>
      <c r="B3477">
        <v>370172</v>
      </c>
      <c r="C3477" s="2" t="str">
        <f>"3824"</f>
        <v>3824</v>
      </c>
      <c r="D3477" t="s">
        <v>3579</v>
      </c>
      <c r="E3477" t="s">
        <v>4</v>
      </c>
      <c r="F3477">
        <v>23.6</v>
      </c>
      <c r="H3477" t="s">
        <v>5</v>
      </c>
      <c r="I3477" s="1">
        <v>139.4</v>
      </c>
      <c r="J3477" s="1">
        <v>139.4</v>
      </c>
      <c r="K3477" t="s">
        <v>6</v>
      </c>
    </row>
    <row r="3478" spans="1:11">
      <c r="A3478" t="s">
        <v>3284</v>
      </c>
      <c r="B3478">
        <v>370416</v>
      </c>
      <c r="C3478" s="2" t="str">
        <f>"3825"</f>
        <v>3825</v>
      </c>
      <c r="D3478" t="s">
        <v>3580</v>
      </c>
      <c r="E3478" t="s">
        <v>4</v>
      </c>
      <c r="F3478">
        <v>25.3</v>
      </c>
      <c r="H3478" t="s">
        <v>5</v>
      </c>
      <c r="I3478" s="1">
        <v>139.4</v>
      </c>
      <c r="J3478" s="1">
        <v>139.4</v>
      </c>
      <c r="K3478" t="s">
        <v>6</v>
      </c>
    </row>
    <row r="3479" spans="1:11">
      <c r="A3479" t="s">
        <v>3284</v>
      </c>
      <c r="B3479">
        <v>370271</v>
      </c>
      <c r="C3479" s="2" t="str">
        <f>"3826"</f>
        <v>3826</v>
      </c>
      <c r="D3479" t="s">
        <v>3581</v>
      </c>
      <c r="E3479" t="s">
        <v>4</v>
      </c>
      <c r="F3479">
        <v>9.5</v>
      </c>
      <c r="H3479" t="s">
        <v>5</v>
      </c>
      <c r="I3479" s="1">
        <v>139.4</v>
      </c>
      <c r="J3479" s="1">
        <v>139.4</v>
      </c>
      <c r="K3479" t="s">
        <v>6</v>
      </c>
    </row>
    <row r="3480" spans="1:11">
      <c r="A3480" t="s">
        <v>3284</v>
      </c>
      <c r="B3480">
        <v>370167</v>
      </c>
      <c r="C3480" s="2" t="str">
        <f>"3827"</f>
        <v>3827</v>
      </c>
      <c r="D3480" t="s">
        <v>3582</v>
      </c>
      <c r="E3480" t="s">
        <v>4</v>
      </c>
      <c r="F3480">
        <v>28</v>
      </c>
      <c r="H3480" t="s">
        <v>5</v>
      </c>
      <c r="I3480" s="1">
        <v>139.4</v>
      </c>
      <c r="J3480" s="1">
        <v>139.4</v>
      </c>
      <c r="K3480" t="s">
        <v>6</v>
      </c>
    </row>
    <row r="3481" spans="1:11">
      <c r="A3481" t="s">
        <v>3284</v>
      </c>
      <c r="B3481">
        <v>370097</v>
      </c>
      <c r="C3481" s="2" t="str">
        <f>"3828"</f>
        <v>3828</v>
      </c>
      <c r="D3481" t="s">
        <v>3583</v>
      </c>
      <c r="E3481" t="s">
        <v>4</v>
      </c>
      <c r="F3481">
        <v>20.9</v>
      </c>
      <c r="H3481" t="s">
        <v>5</v>
      </c>
      <c r="I3481" s="1">
        <v>105.05</v>
      </c>
      <c r="J3481" s="1">
        <v>105.05</v>
      </c>
      <c r="K3481" t="s">
        <v>6</v>
      </c>
    </row>
    <row r="3482" spans="1:11">
      <c r="A3482" t="s">
        <v>3284</v>
      </c>
      <c r="B3482">
        <v>545550</v>
      </c>
      <c r="C3482" s="2" t="str">
        <f>"3831"</f>
        <v>3831</v>
      </c>
      <c r="D3482" t="s">
        <v>3584</v>
      </c>
      <c r="E3482" t="s">
        <v>4</v>
      </c>
      <c r="F3482">
        <v>5.5</v>
      </c>
      <c r="H3482" t="s">
        <v>5</v>
      </c>
      <c r="I3482" s="1">
        <v>38.17</v>
      </c>
      <c r="J3482" s="1">
        <v>38.17</v>
      </c>
      <c r="K3482" t="s">
        <v>6</v>
      </c>
    </row>
    <row r="3483" spans="1:11">
      <c r="A3483" t="s">
        <v>3284</v>
      </c>
      <c r="B3483">
        <v>370519</v>
      </c>
      <c r="C3483" s="2" t="str">
        <f>"3911"</f>
        <v>3911</v>
      </c>
      <c r="D3483" t="s">
        <v>3585</v>
      </c>
      <c r="E3483" t="s">
        <v>4</v>
      </c>
      <c r="F3483">
        <v>20.2</v>
      </c>
      <c r="H3483" t="s">
        <v>5</v>
      </c>
      <c r="I3483" s="1">
        <v>119.48</v>
      </c>
      <c r="J3483" s="1">
        <v>119.48</v>
      </c>
      <c r="K3483" t="s">
        <v>6</v>
      </c>
    </row>
    <row r="3484" spans="1:11">
      <c r="A3484" t="s">
        <v>3284</v>
      </c>
      <c r="B3484">
        <v>370785</v>
      </c>
      <c r="C3484" s="2" t="str">
        <f>"3914"</f>
        <v>3914</v>
      </c>
      <c r="D3484" t="s">
        <v>3586</v>
      </c>
      <c r="E3484" t="s">
        <v>4</v>
      </c>
      <c r="F3484">
        <v>17</v>
      </c>
      <c r="H3484" t="s">
        <v>5</v>
      </c>
      <c r="I3484" s="1">
        <v>119.48</v>
      </c>
      <c r="J3484" s="1">
        <v>119.48</v>
      </c>
      <c r="K3484" t="s">
        <v>6</v>
      </c>
    </row>
    <row r="3485" spans="1:11">
      <c r="A3485" t="s">
        <v>3284</v>
      </c>
      <c r="B3485">
        <v>369460</v>
      </c>
      <c r="C3485" s="2" t="str">
        <f>"3915"</f>
        <v>3915</v>
      </c>
      <c r="D3485" t="s">
        <v>3587</v>
      </c>
      <c r="E3485" t="s">
        <v>4</v>
      </c>
      <c r="F3485">
        <v>22.3</v>
      </c>
      <c r="H3485" t="s">
        <v>5</v>
      </c>
      <c r="I3485" s="1">
        <v>119.48</v>
      </c>
      <c r="J3485" s="1">
        <v>119.48</v>
      </c>
      <c r="K3485" t="s">
        <v>6</v>
      </c>
    </row>
    <row r="3486" spans="1:11">
      <c r="A3486" t="s">
        <v>3284</v>
      </c>
      <c r="B3486">
        <v>369577</v>
      </c>
      <c r="C3486" s="2" t="str">
        <f>"3957"</f>
        <v>3957</v>
      </c>
      <c r="D3486" t="s">
        <v>3588</v>
      </c>
      <c r="E3486" t="s">
        <v>4</v>
      </c>
      <c r="F3486">
        <v>20</v>
      </c>
      <c r="H3486" t="s">
        <v>5</v>
      </c>
      <c r="I3486" s="1">
        <v>119.48</v>
      </c>
      <c r="J3486" s="1">
        <v>119.48</v>
      </c>
      <c r="K3486" t="s">
        <v>6</v>
      </c>
    </row>
    <row r="3487" spans="1:11">
      <c r="A3487" t="s">
        <v>3284</v>
      </c>
      <c r="B3487">
        <v>370864</v>
      </c>
      <c r="C3487" s="2" t="str">
        <f>"3964"</f>
        <v>3964</v>
      </c>
      <c r="D3487" t="s">
        <v>3589</v>
      </c>
      <c r="E3487" t="s">
        <v>4</v>
      </c>
      <c r="F3487">
        <v>16.3</v>
      </c>
      <c r="H3487" t="s">
        <v>5</v>
      </c>
      <c r="I3487" s="1">
        <v>119.48</v>
      </c>
      <c r="J3487" s="1">
        <v>119.48</v>
      </c>
      <c r="K3487" t="s">
        <v>6</v>
      </c>
    </row>
    <row r="3488" spans="1:11">
      <c r="A3488" t="s">
        <v>3284</v>
      </c>
      <c r="B3488">
        <v>453249</v>
      </c>
      <c r="C3488" s="2" t="str">
        <f>"3965"</f>
        <v>3965</v>
      </c>
      <c r="D3488" t="s">
        <v>3590</v>
      </c>
      <c r="E3488" t="s">
        <v>4</v>
      </c>
      <c r="F3488">
        <v>12.4</v>
      </c>
      <c r="H3488" t="s">
        <v>5</v>
      </c>
      <c r="I3488" s="1">
        <v>79.650000000000006</v>
      </c>
      <c r="J3488" s="1">
        <v>79.650000000000006</v>
      </c>
      <c r="K3488" t="s">
        <v>6</v>
      </c>
    </row>
    <row r="3489" spans="1:11">
      <c r="A3489" t="s">
        <v>3284</v>
      </c>
      <c r="B3489">
        <v>370241</v>
      </c>
      <c r="C3489" s="2" t="str">
        <f>"3966"</f>
        <v>3966</v>
      </c>
      <c r="D3489" t="s">
        <v>3591</v>
      </c>
      <c r="E3489" t="s">
        <v>4</v>
      </c>
      <c r="F3489">
        <v>14</v>
      </c>
      <c r="H3489" t="s">
        <v>5</v>
      </c>
      <c r="I3489" s="1">
        <v>119.48</v>
      </c>
      <c r="J3489" s="1">
        <v>119.48</v>
      </c>
      <c r="K3489" t="s">
        <v>6</v>
      </c>
    </row>
    <row r="3490" spans="1:11">
      <c r="A3490" t="s">
        <v>3284</v>
      </c>
      <c r="B3490">
        <v>370211</v>
      </c>
      <c r="C3490" s="2" t="str">
        <f>"3996"</f>
        <v>3996</v>
      </c>
      <c r="D3490" t="s">
        <v>3592</v>
      </c>
      <c r="E3490" t="s">
        <v>4</v>
      </c>
      <c r="F3490">
        <v>6</v>
      </c>
      <c r="H3490" t="s">
        <v>5</v>
      </c>
      <c r="I3490" s="1">
        <v>39.83</v>
      </c>
      <c r="J3490" s="1">
        <v>39.83</v>
      </c>
      <c r="K3490" t="s">
        <v>6</v>
      </c>
    </row>
    <row r="3491" spans="1:11">
      <c r="A3491" t="s">
        <v>3284</v>
      </c>
      <c r="B3491">
        <v>395258</v>
      </c>
      <c r="C3491" s="2" t="str">
        <f>"400"</f>
        <v>400</v>
      </c>
      <c r="D3491" t="s">
        <v>3593</v>
      </c>
      <c r="E3491" t="s">
        <v>4</v>
      </c>
      <c r="F3491">
        <v>8.3000000000000007</v>
      </c>
      <c r="H3491" t="s">
        <v>5</v>
      </c>
      <c r="I3491" s="1">
        <v>20.49</v>
      </c>
      <c r="J3491" s="1">
        <v>20.49</v>
      </c>
      <c r="K3491" t="s">
        <v>6</v>
      </c>
    </row>
    <row r="3492" spans="1:11">
      <c r="A3492" t="s">
        <v>3284</v>
      </c>
      <c r="B3492">
        <v>435120</v>
      </c>
      <c r="C3492" s="2" t="str">
        <f>"401"</f>
        <v>401</v>
      </c>
      <c r="D3492" t="s">
        <v>3594</v>
      </c>
      <c r="E3492" t="s">
        <v>4</v>
      </c>
      <c r="F3492">
        <v>8.9</v>
      </c>
      <c r="H3492" t="s">
        <v>5</v>
      </c>
      <c r="I3492" s="1">
        <v>23.52</v>
      </c>
      <c r="J3492" s="1">
        <v>23.52</v>
      </c>
      <c r="K3492" t="s">
        <v>6</v>
      </c>
    </row>
    <row r="3493" spans="1:11">
      <c r="A3493" t="s">
        <v>3284</v>
      </c>
      <c r="B3493">
        <v>442425</v>
      </c>
      <c r="C3493" s="2" t="str">
        <f>"402"</f>
        <v>402</v>
      </c>
      <c r="D3493" t="s">
        <v>3595</v>
      </c>
      <c r="E3493" t="s">
        <v>4</v>
      </c>
      <c r="F3493">
        <v>11.5</v>
      </c>
      <c r="H3493" t="s">
        <v>5</v>
      </c>
      <c r="I3493" s="1">
        <v>25.83</v>
      </c>
      <c r="J3493" s="1">
        <v>25.83</v>
      </c>
      <c r="K3493" t="s">
        <v>6</v>
      </c>
    </row>
    <row r="3494" spans="1:11">
      <c r="A3494" t="s">
        <v>3284</v>
      </c>
      <c r="B3494">
        <v>434201</v>
      </c>
      <c r="C3494" s="2" t="str">
        <f>"403"</f>
        <v>403</v>
      </c>
      <c r="D3494" t="s">
        <v>3596</v>
      </c>
      <c r="E3494" t="s">
        <v>4</v>
      </c>
      <c r="F3494">
        <v>10.7</v>
      </c>
      <c r="H3494" t="s">
        <v>5</v>
      </c>
      <c r="I3494" s="1">
        <v>25.83</v>
      </c>
      <c r="J3494" s="1">
        <v>25.83</v>
      </c>
      <c r="K3494" t="s">
        <v>6</v>
      </c>
    </row>
    <row r="3495" spans="1:11">
      <c r="A3495" t="s">
        <v>3284</v>
      </c>
      <c r="B3495">
        <v>503746</v>
      </c>
      <c r="C3495" s="2" t="str">
        <f>"409"</f>
        <v>409</v>
      </c>
      <c r="D3495" t="s">
        <v>3597</v>
      </c>
      <c r="E3495" t="s">
        <v>4</v>
      </c>
      <c r="F3495">
        <v>10.7</v>
      </c>
      <c r="H3495" t="s">
        <v>5</v>
      </c>
      <c r="I3495" s="1">
        <v>25.83</v>
      </c>
      <c r="J3495" s="1">
        <v>25.83</v>
      </c>
      <c r="K3495" t="s">
        <v>6</v>
      </c>
    </row>
    <row r="3496" spans="1:11">
      <c r="A3496" t="s">
        <v>3284</v>
      </c>
      <c r="B3496">
        <v>457009</v>
      </c>
      <c r="C3496" s="2" t="str">
        <f>"4111SRB/UPC00"</f>
        <v>4111SRB/UPC00</v>
      </c>
      <c r="D3496" t="s">
        <v>3598</v>
      </c>
      <c r="E3496" t="s">
        <v>4</v>
      </c>
      <c r="F3496">
        <v>8</v>
      </c>
      <c r="H3496" t="s">
        <v>5</v>
      </c>
      <c r="I3496" s="1">
        <v>60.89</v>
      </c>
      <c r="J3496" s="1">
        <v>60.89</v>
      </c>
      <c r="K3496" t="s">
        <v>6</v>
      </c>
    </row>
    <row r="3497" spans="1:11">
      <c r="A3497" t="s">
        <v>3284</v>
      </c>
      <c r="B3497">
        <v>370306</v>
      </c>
      <c r="C3497" s="2" t="str">
        <f>"4116SRB/UPC00"</f>
        <v>4116SRB/UPC00</v>
      </c>
      <c r="D3497" t="s">
        <v>3599</v>
      </c>
      <c r="E3497" t="s">
        <v>4</v>
      </c>
      <c r="F3497">
        <v>9.5</v>
      </c>
      <c r="H3497" t="s">
        <v>5</v>
      </c>
      <c r="I3497" s="1">
        <v>60.89</v>
      </c>
      <c r="J3497" s="1">
        <v>60.89</v>
      </c>
      <c r="K3497" t="s">
        <v>6</v>
      </c>
    </row>
    <row r="3498" spans="1:11">
      <c r="A3498" t="s">
        <v>3284</v>
      </c>
      <c r="B3498">
        <v>372485</v>
      </c>
      <c r="C3498" s="2" t="str">
        <f>"44"</f>
        <v>44</v>
      </c>
      <c r="D3498" t="s">
        <v>3600</v>
      </c>
      <c r="E3498" t="s">
        <v>4</v>
      </c>
      <c r="F3498">
        <v>29</v>
      </c>
      <c r="H3498" t="s">
        <v>5</v>
      </c>
      <c r="I3498" s="1">
        <v>71.86</v>
      </c>
      <c r="J3498" s="1">
        <v>71.86</v>
      </c>
      <c r="K3498" t="s">
        <v>6</v>
      </c>
    </row>
    <row r="3499" spans="1:11">
      <c r="A3499" t="s">
        <v>3284</v>
      </c>
      <c r="B3499">
        <v>369579</v>
      </c>
      <c r="C3499" s="2" t="str">
        <f>"48"</f>
        <v>48</v>
      </c>
      <c r="D3499" t="s">
        <v>3601</v>
      </c>
      <c r="E3499" t="s">
        <v>4</v>
      </c>
      <c r="F3499">
        <v>17</v>
      </c>
      <c r="H3499" t="s">
        <v>5</v>
      </c>
      <c r="I3499" s="1">
        <v>90.04</v>
      </c>
      <c r="J3499" s="1">
        <v>90.04</v>
      </c>
      <c r="K3499" t="s">
        <v>6</v>
      </c>
    </row>
    <row r="3500" spans="1:11">
      <c r="A3500" t="s">
        <v>3284</v>
      </c>
      <c r="B3500">
        <v>447742</v>
      </c>
      <c r="C3500" s="2" t="str">
        <f>"4803"</f>
        <v>4803</v>
      </c>
      <c r="D3500" t="s">
        <v>3602</v>
      </c>
      <c r="E3500" t="s">
        <v>4</v>
      </c>
      <c r="F3500">
        <v>15.5</v>
      </c>
      <c r="H3500" t="s">
        <v>5</v>
      </c>
      <c r="I3500" s="1">
        <v>68.69</v>
      </c>
      <c r="J3500" s="1">
        <v>68.69</v>
      </c>
      <c r="K3500" t="s">
        <v>6</v>
      </c>
    </row>
    <row r="3501" spans="1:11">
      <c r="A3501" t="s">
        <v>3284</v>
      </c>
      <c r="B3501">
        <v>370393</v>
      </c>
      <c r="C3501" s="2" t="str">
        <f>"494"</f>
        <v>494</v>
      </c>
      <c r="D3501" t="s">
        <v>3603</v>
      </c>
      <c r="E3501" t="s">
        <v>4</v>
      </c>
      <c r="F3501">
        <v>8</v>
      </c>
      <c r="H3501" t="s">
        <v>5</v>
      </c>
      <c r="I3501" s="1">
        <v>22.07</v>
      </c>
      <c r="J3501" s="1">
        <v>22.07</v>
      </c>
      <c r="K3501" t="s">
        <v>6</v>
      </c>
    </row>
    <row r="3502" spans="1:11">
      <c r="A3502" t="s">
        <v>3284</v>
      </c>
      <c r="B3502">
        <v>369197</v>
      </c>
      <c r="C3502" s="2" t="str">
        <f>"5001"</f>
        <v>5001</v>
      </c>
      <c r="D3502" t="s">
        <v>3604</v>
      </c>
      <c r="E3502" t="s">
        <v>4</v>
      </c>
      <c r="F3502">
        <v>27.5</v>
      </c>
      <c r="H3502" t="s">
        <v>5</v>
      </c>
      <c r="I3502" s="1">
        <v>74.319999999999993</v>
      </c>
      <c r="J3502" s="1">
        <v>74.319999999999993</v>
      </c>
      <c r="K3502" t="s">
        <v>6</v>
      </c>
    </row>
    <row r="3503" spans="1:11">
      <c r="A3503" t="s">
        <v>3284</v>
      </c>
      <c r="B3503">
        <v>370180</v>
      </c>
      <c r="C3503" s="2" t="str">
        <f>"5011"</f>
        <v>5011</v>
      </c>
      <c r="D3503" t="s">
        <v>3605</v>
      </c>
      <c r="E3503" t="s">
        <v>4</v>
      </c>
      <c r="F3503">
        <v>18.399999999999999</v>
      </c>
      <c r="H3503" t="s">
        <v>5</v>
      </c>
      <c r="I3503" s="1">
        <v>41.99</v>
      </c>
      <c r="J3503" s="1">
        <v>41.99</v>
      </c>
      <c r="K3503" t="s">
        <v>6</v>
      </c>
    </row>
    <row r="3504" spans="1:11">
      <c r="A3504" t="s">
        <v>3284</v>
      </c>
      <c r="B3504">
        <v>369519</v>
      </c>
      <c r="C3504" s="2" t="str">
        <f>"5012"</f>
        <v>5012</v>
      </c>
      <c r="D3504" t="s">
        <v>3606</v>
      </c>
      <c r="E3504" t="s">
        <v>4</v>
      </c>
      <c r="F3504">
        <v>32</v>
      </c>
      <c r="H3504" t="s">
        <v>5</v>
      </c>
      <c r="I3504" s="1">
        <v>74.17</v>
      </c>
      <c r="J3504" s="1">
        <v>74.17</v>
      </c>
      <c r="K3504" t="s">
        <v>6</v>
      </c>
    </row>
    <row r="3505" spans="1:11">
      <c r="A3505" t="s">
        <v>3284</v>
      </c>
      <c r="B3505">
        <v>370582</v>
      </c>
      <c r="C3505" s="2" t="str">
        <f>"5016"</f>
        <v>5016</v>
      </c>
      <c r="D3505" t="s">
        <v>3607</v>
      </c>
      <c r="E3505" t="s">
        <v>4</v>
      </c>
      <c r="F3505">
        <v>27</v>
      </c>
      <c r="H3505" t="s">
        <v>5</v>
      </c>
      <c r="I3505" s="1">
        <v>48.78</v>
      </c>
      <c r="J3505" s="1">
        <v>48.78</v>
      </c>
      <c r="K3505" t="s">
        <v>6</v>
      </c>
    </row>
    <row r="3506" spans="1:11">
      <c r="A3506" t="s">
        <v>3284</v>
      </c>
      <c r="B3506">
        <v>369610</v>
      </c>
      <c r="C3506" s="2" t="str">
        <f>"5018"</f>
        <v>5018</v>
      </c>
      <c r="D3506" t="s">
        <v>3608</v>
      </c>
      <c r="E3506" t="s">
        <v>4</v>
      </c>
      <c r="F3506">
        <v>27.9</v>
      </c>
      <c r="H3506" t="s">
        <v>5</v>
      </c>
      <c r="I3506" s="1">
        <v>51.22</v>
      </c>
      <c r="J3506" s="1">
        <v>51.22</v>
      </c>
      <c r="K3506" t="s">
        <v>6</v>
      </c>
    </row>
    <row r="3507" spans="1:11">
      <c r="A3507" t="s">
        <v>3284</v>
      </c>
      <c r="B3507">
        <v>369529</v>
      </c>
      <c r="C3507" s="2" t="str">
        <f>"5019"</f>
        <v>5019</v>
      </c>
      <c r="D3507" t="s">
        <v>3609</v>
      </c>
      <c r="E3507" t="s">
        <v>4</v>
      </c>
      <c r="F3507">
        <v>24.1</v>
      </c>
      <c r="H3507" t="s">
        <v>5</v>
      </c>
      <c r="I3507" s="1">
        <v>41.85</v>
      </c>
      <c r="J3507" s="1">
        <v>41.85</v>
      </c>
      <c r="K3507" t="s">
        <v>6</v>
      </c>
    </row>
    <row r="3508" spans="1:11">
      <c r="A3508" t="s">
        <v>3284</v>
      </c>
      <c r="B3508">
        <v>369154</v>
      </c>
      <c r="C3508" s="2" t="str">
        <f>"5020"</f>
        <v>5020</v>
      </c>
      <c r="D3508" t="s">
        <v>3610</v>
      </c>
      <c r="E3508" t="s">
        <v>4</v>
      </c>
      <c r="F3508">
        <v>27</v>
      </c>
      <c r="H3508" t="s">
        <v>5</v>
      </c>
      <c r="I3508" s="1">
        <v>52.96</v>
      </c>
      <c r="J3508" s="1">
        <v>52.96</v>
      </c>
      <c r="K3508" t="s">
        <v>6</v>
      </c>
    </row>
    <row r="3509" spans="1:11">
      <c r="A3509" t="s">
        <v>3284</v>
      </c>
      <c r="B3509">
        <v>382015</v>
      </c>
      <c r="C3509" s="2" t="str">
        <f>"5027"</f>
        <v>5027</v>
      </c>
      <c r="D3509" t="s">
        <v>3611</v>
      </c>
      <c r="E3509" t="s">
        <v>4</v>
      </c>
      <c r="F3509">
        <v>20</v>
      </c>
      <c r="H3509" t="s">
        <v>5</v>
      </c>
      <c r="I3509" s="1">
        <v>55.56</v>
      </c>
      <c r="J3509" s="1">
        <v>55.56</v>
      </c>
      <c r="K3509" t="s">
        <v>6</v>
      </c>
    </row>
    <row r="3510" spans="1:11">
      <c r="A3510" t="s">
        <v>3284</v>
      </c>
      <c r="B3510">
        <v>370396</v>
      </c>
      <c r="C3510" s="2" t="str">
        <f>"5030"</f>
        <v>5030</v>
      </c>
      <c r="D3510" t="s">
        <v>3612</v>
      </c>
      <c r="E3510" t="s">
        <v>4</v>
      </c>
      <c r="F3510">
        <v>23</v>
      </c>
      <c r="H3510" t="s">
        <v>5</v>
      </c>
      <c r="I3510" s="1">
        <v>101.3</v>
      </c>
      <c r="J3510" s="1">
        <v>101.3</v>
      </c>
      <c r="K3510" t="s">
        <v>6</v>
      </c>
    </row>
    <row r="3511" spans="1:11">
      <c r="A3511" t="s">
        <v>3284</v>
      </c>
      <c r="B3511">
        <v>370181</v>
      </c>
      <c r="C3511" s="2" t="str">
        <f>"5031"</f>
        <v>5031</v>
      </c>
      <c r="D3511" t="s">
        <v>3613</v>
      </c>
      <c r="E3511" t="s">
        <v>4</v>
      </c>
      <c r="F3511">
        <v>21</v>
      </c>
      <c r="H3511" t="s">
        <v>5</v>
      </c>
      <c r="I3511" s="1">
        <v>90.04</v>
      </c>
      <c r="J3511" s="1">
        <v>90.04</v>
      </c>
      <c r="K3511" t="s">
        <v>6</v>
      </c>
    </row>
    <row r="3512" spans="1:11">
      <c r="A3512" t="s">
        <v>3284</v>
      </c>
      <c r="B3512">
        <v>369547</v>
      </c>
      <c r="C3512" s="2" t="str">
        <f>"5037"</f>
        <v>5037</v>
      </c>
      <c r="D3512" t="s">
        <v>3614</v>
      </c>
      <c r="E3512" t="s">
        <v>4</v>
      </c>
      <c r="F3512">
        <v>11</v>
      </c>
      <c r="H3512" t="s">
        <v>5</v>
      </c>
      <c r="I3512" s="1">
        <v>87.15</v>
      </c>
      <c r="J3512" s="1">
        <v>87.15</v>
      </c>
      <c r="K3512" t="s">
        <v>6</v>
      </c>
    </row>
    <row r="3513" spans="1:11">
      <c r="A3513" t="s">
        <v>3284</v>
      </c>
      <c r="B3513">
        <v>369557</v>
      </c>
      <c r="C3513" s="2" t="str">
        <f>"5045"</f>
        <v>5045</v>
      </c>
      <c r="D3513" t="s">
        <v>3615</v>
      </c>
      <c r="E3513" t="s">
        <v>4</v>
      </c>
      <c r="F3513">
        <v>13</v>
      </c>
      <c r="H3513" t="s">
        <v>5</v>
      </c>
      <c r="I3513" s="1">
        <v>86.58</v>
      </c>
      <c r="J3513" s="1">
        <v>86.58</v>
      </c>
      <c r="K3513" t="s">
        <v>6</v>
      </c>
    </row>
    <row r="3514" spans="1:11">
      <c r="A3514" t="s">
        <v>3284</v>
      </c>
      <c r="B3514">
        <v>369203</v>
      </c>
      <c r="C3514" s="2" t="str">
        <f>"5065"</f>
        <v>5065</v>
      </c>
      <c r="D3514" t="s">
        <v>3616</v>
      </c>
      <c r="E3514" t="s">
        <v>4</v>
      </c>
      <c r="F3514">
        <v>13</v>
      </c>
      <c r="H3514" t="s">
        <v>5</v>
      </c>
      <c r="I3514" s="1">
        <v>103.03</v>
      </c>
      <c r="J3514" s="1">
        <v>103.03</v>
      </c>
      <c r="K3514" t="s">
        <v>6</v>
      </c>
    </row>
    <row r="3515" spans="1:11">
      <c r="A3515" t="s">
        <v>3284</v>
      </c>
      <c r="B3515">
        <v>369389</v>
      </c>
      <c r="C3515" s="2" t="str">
        <f>"5092"</f>
        <v>5092</v>
      </c>
      <c r="D3515" t="s">
        <v>3617</v>
      </c>
      <c r="E3515" t="s">
        <v>4</v>
      </c>
      <c r="F3515">
        <v>21.6</v>
      </c>
      <c r="H3515" t="s">
        <v>5</v>
      </c>
      <c r="I3515" s="1">
        <v>49.79</v>
      </c>
      <c r="J3515" s="1">
        <v>49.79</v>
      </c>
      <c r="K3515" t="s">
        <v>6</v>
      </c>
    </row>
    <row r="3516" spans="1:11">
      <c r="A3516" t="s">
        <v>3284</v>
      </c>
      <c r="B3516">
        <v>369675</v>
      </c>
      <c r="C3516" s="2" t="str">
        <f>"5101"</f>
        <v>5101</v>
      </c>
      <c r="D3516" t="s">
        <v>3618</v>
      </c>
      <c r="E3516" t="s">
        <v>4</v>
      </c>
      <c r="F3516">
        <v>20.8</v>
      </c>
      <c r="H3516" t="s">
        <v>5</v>
      </c>
      <c r="I3516" s="1">
        <v>119.48</v>
      </c>
      <c r="J3516" s="1">
        <v>119.48</v>
      </c>
      <c r="K3516" t="s">
        <v>6</v>
      </c>
    </row>
    <row r="3517" spans="1:11">
      <c r="A3517" t="s">
        <v>3284</v>
      </c>
      <c r="B3517">
        <v>450757</v>
      </c>
      <c r="C3517" s="2" t="str">
        <f>"5102"</f>
        <v>5102</v>
      </c>
      <c r="D3517" t="s">
        <v>3619</v>
      </c>
      <c r="E3517" t="s">
        <v>4</v>
      </c>
      <c r="F3517">
        <v>22.1</v>
      </c>
      <c r="H3517" t="s">
        <v>5</v>
      </c>
      <c r="I3517" s="1">
        <v>76.77</v>
      </c>
      <c r="J3517" s="1">
        <v>76.77</v>
      </c>
      <c r="K3517" t="s">
        <v>6</v>
      </c>
    </row>
    <row r="3518" spans="1:11">
      <c r="A3518" t="s">
        <v>3284</v>
      </c>
      <c r="B3518">
        <v>434202</v>
      </c>
      <c r="C3518" s="2" t="str">
        <f>"5103"</f>
        <v>5103</v>
      </c>
      <c r="D3518" t="s">
        <v>3620</v>
      </c>
      <c r="E3518" t="s">
        <v>4</v>
      </c>
      <c r="F3518">
        <v>27.3</v>
      </c>
      <c r="H3518" t="s">
        <v>5</v>
      </c>
      <c r="I3518" s="1">
        <v>81.38</v>
      </c>
      <c r="J3518" s="1">
        <v>81.38</v>
      </c>
      <c r="K3518" t="s">
        <v>6</v>
      </c>
    </row>
    <row r="3519" spans="1:11">
      <c r="A3519" t="s">
        <v>3284</v>
      </c>
      <c r="B3519">
        <v>370248</v>
      </c>
      <c r="C3519" s="2" t="str">
        <f>"5109"</f>
        <v>5109</v>
      </c>
      <c r="D3519" t="s">
        <v>3621</v>
      </c>
      <c r="E3519" t="s">
        <v>4</v>
      </c>
      <c r="F3519">
        <v>8</v>
      </c>
      <c r="H3519" t="s">
        <v>5</v>
      </c>
      <c r="I3519" s="1">
        <v>35.5</v>
      </c>
      <c r="J3519" s="1">
        <v>35.5</v>
      </c>
      <c r="K3519" t="s">
        <v>6</v>
      </c>
    </row>
    <row r="3520" spans="1:11">
      <c r="A3520" t="s">
        <v>3284</v>
      </c>
      <c r="B3520">
        <v>388105</v>
      </c>
      <c r="C3520" s="2" t="str">
        <f>"5110"</f>
        <v>5110</v>
      </c>
      <c r="D3520" t="s">
        <v>3622</v>
      </c>
      <c r="E3520" t="s">
        <v>4</v>
      </c>
      <c r="F3520">
        <v>30.3</v>
      </c>
      <c r="H3520" t="s">
        <v>5</v>
      </c>
      <c r="I3520" s="1">
        <v>82.82</v>
      </c>
      <c r="J3520" s="1">
        <v>82.82</v>
      </c>
      <c r="K3520" t="s">
        <v>6</v>
      </c>
    </row>
    <row r="3521" spans="1:11">
      <c r="A3521" t="s">
        <v>3284</v>
      </c>
      <c r="B3521">
        <v>369417</v>
      </c>
      <c r="C3521" s="2" t="str">
        <f>"5115"</f>
        <v>5115</v>
      </c>
      <c r="D3521" t="s">
        <v>3623</v>
      </c>
      <c r="E3521" t="s">
        <v>4</v>
      </c>
      <c r="F3521">
        <v>32</v>
      </c>
      <c r="H3521" t="s">
        <v>5</v>
      </c>
      <c r="I3521" s="1">
        <v>117.31</v>
      </c>
      <c r="J3521" s="1">
        <v>117.31</v>
      </c>
      <c r="K3521" t="s">
        <v>6</v>
      </c>
    </row>
    <row r="3522" spans="1:11">
      <c r="A3522" t="s">
        <v>3284</v>
      </c>
      <c r="B3522">
        <v>369365</v>
      </c>
      <c r="C3522" s="2" t="str">
        <f>"5118"</f>
        <v>5118</v>
      </c>
      <c r="D3522" t="s">
        <v>3624</v>
      </c>
      <c r="E3522" t="s">
        <v>4</v>
      </c>
      <c r="F3522">
        <v>31</v>
      </c>
      <c r="H3522" t="s">
        <v>5</v>
      </c>
      <c r="I3522" s="1">
        <v>79.650000000000006</v>
      </c>
      <c r="J3522" s="1">
        <v>79.650000000000006</v>
      </c>
      <c r="K3522" t="s">
        <v>6</v>
      </c>
    </row>
    <row r="3523" spans="1:11">
      <c r="A3523" t="s">
        <v>3284</v>
      </c>
      <c r="B3523">
        <v>369334</v>
      </c>
      <c r="C3523" s="2" t="str">
        <f>"5119"</f>
        <v>5119</v>
      </c>
      <c r="D3523" t="s">
        <v>3625</v>
      </c>
      <c r="E3523" t="s">
        <v>4</v>
      </c>
      <c r="F3523">
        <v>19.8</v>
      </c>
      <c r="H3523" t="s">
        <v>5</v>
      </c>
      <c r="I3523" s="1">
        <v>86.58</v>
      </c>
      <c r="J3523" s="1">
        <v>86.58</v>
      </c>
      <c r="K3523" t="s">
        <v>6</v>
      </c>
    </row>
    <row r="3524" spans="1:11">
      <c r="A3524" t="s">
        <v>3284</v>
      </c>
      <c r="B3524">
        <v>370458</v>
      </c>
      <c r="C3524" s="2" t="str">
        <f>"5120"</f>
        <v>5120</v>
      </c>
      <c r="D3524" t="s">
        <v>3626</v>
      </c>
      <c r="E3524" t="s">
        <v>4</v>
      </c>
      <c r="F3524">
        <v>17</v>
      </c>
      <c r="H3524" t="s">
        <v>5</v>
      </c>
      <c r="I3524" s="1">
        <v>86.87</v>
      </c>
      <c r="J3524" s="1">
        <v>86.87</v>
      </c>
      <c r="K3524" t="s">
        <v>6</v>
      </c>
    </row>
    <row r="3525" spans="1:11">
      <c r="A3525" t="s">
        <v>3284</v>
      </c>
      <c r="B3525">
        <v>370232</v>
      </c>
      <c r="C3525" s="2" t="str">
        <f>"5120A0007"</f>
        <v>5120A0007</v>
      </c>
      <c r="D3525" t="s">
        <v>3627</v>
      </c>
      <c r="E3525" t="s">
        <v>4</v>
      </c>
      <c r="F3525">
        <v>17</v>
      </c>
      <c r="H3525" t="s">
        <v>5</v>
      </c>
      <c r="I3525" s="1">
        <v>115.36</v>
      </c>
      <c r="J3525" s="1">
        <v>115.36</v>
      </c>
      <c r="K3525" t="s">
        <v>6</v>
      </c>
    </row>
    <row r="3526" spans="1:11">
      <c r="A3526" t="s">
        <v>3284</v>
      </c>
      <c r="B3526">
        <v>370337</v>
      </c>
      <c r="C3526" s="2" t="str">
        <f>"5121"</f>
        <v>5121</v>
      </c>
      <c r="D3526" t="s">
        <v>3628</v>
      </c>
      <c r="E3526" t="s">
        <v>4</v>
      </c>
      <c r="F3526">
        <v>20</v>
      </c>
      <c r="H3526" t="s">
        <v>5</v>
      </c>
      <c r="I3526" s="1">
        <v>102.23</v>
      </c>
      <c r="J3526" s="1">
        <v>102.23</v>
      </c>
      <c r="K3526" t="s">
        <v>6</v>
      </c>
    </row>
    <row r="3527" spans="1:11">
      <c r="A3527" t="s">
        <v>3284</v>
      </c>
      <c r="B3527">
        <v>370134</v>
      </c>
      <c r="C3527" s="2" t="str">
        <f>"5121S0711"</f>
        <v>5121S0711</v>
      </c>
      <c r="D3527" t="s">
        <v>3629</v>
      </c>
      <c r="E3527" t="s">
        <v>4</v>
      </c>
      <c r="F3527">
        <v>20</v>
      </c>
      <c r="H3527" t="s">
        <v>5</v>
      </c>
      <c r="I3527" s="1">
        <v>124.89</v>
      </c>
      <c r="J3527" s="1">
        <v>124.89</v>
      </c>
      <c r="K3527" t="s">
        <v>6</v>
      </c>
    </row>
    <row r="3528" spans="1:11">
      <c r="A3528" t="s">
        <v>3284</v>
      </c>
      <c r="B3528">
        <v>369443</v>
      </c>
      <c r="C3528" s="2" t="str">
        <f>"5122"</f>
        <v>5122</v>
      </c>
      <c r="D3528" t="s">
        <v>3630</v>
      </c>
      <c r="E3528" t="s">
        <v>4</v>
      </c>
      <c r="F3528">
        <v>23</v>
      </c>
      <c r="H3528" t="s">
        <v>5</v>
      </c>
      <c r="I3528" s="1">
        <v>102.23</v>
      </c>
      <c r="J3528" s="1">
        <v>102.23</v>
      </c>
      <c r="K3528" t="s">
        <v>6</v>
      </c>
    </row>
    <row r="3529" spans="1:11">
      <c r="A3529" t="s">
        <v>3284</v>
      </c>
      <c r="B3529">
        <v>369350</v>
      </c>
      <c r="C3529" s="2" t="str">
        <f>"5122S0709"</f>
        <v>5122S0709</v>
      </c>
      <c r="D3529" t="s">
        <v>3631</v>
      </c>
      <c r="E3529" t="s">
        <v>4</v>
      </c>
      <c r="F3529">
        <v>23</v>
      </c>
      <c r="H3529" t="s">
        <v>5</v>
      </c>
      <c r="I3529" s="1">
        <v>124.89</v>
      </c>
      <c r="J3529" s="1">
        <v>124.89</v>
      </c>
      <c r="K3529" t="s">
        <v>6</v>
      </c>
    </row>
    <row r="3530" spans="1:11">
      <c r="A3530" t="s">
        <v>3284</v>
      </c>
      <c r="B3530">
        <v>370343</v>
      </c>
      <c r="C3530" s="2" t="str">
        <f>"5126"</f>
        <v>5126</v>
      </c>
      <c r="D3530" t="s">
        <v>3632</v>
      </c>
      <c r="E3530" t="s">
        <v>4</v>
      </c>
      <c r="F3530">
        <v>24</v>
      </c>
      <c r="H3530" t="s">
        <v>5</v>
      </c>
      <c r="I3530" s="1">
        <v>68.16</v>
      </c>
      <c r="J3530" s="1">
        <v>68.16</v>
      </c>
      <c r="K3530" t="s">
        <v>6</v>
      </c>
    </row>
    <row r="3531" spans="1:11">
      <c r="A3531" t="s">
        <v>3284</v>
      </c>
      <c r="B3531">
        <v>369545</v>
      </c>
      <c r="C3531" s="2" t="str">
        <f>"5126A0007"</f>
        <v>5126A0007</v>
      </c>
      <c r="D3531" t="s">
        <v>3633</v>
      </c>
      <c r="E3531" t="s">
        <v>4</v>
      </c>
      <c r="F3531">
        <v>24</v>
      </c>
      <c r="H3531" t="s">
        <v>5</v>
      </c>
      <c r="I3531" s="1">
        <v>82.64</v>
      </c>
      <c r="J3531" s="1">
        <v>82.64</v>
      </c>
      <c r="K3531" t="s">
        <v>6</v>
      </c>
    </row>
    <row r="3532" spans="1:11">
      <c r="A3532" t="s">
        <v>3284</v>
      </c>
      <c r="B3532">
        <v>370205</v>
      </c>
      <c r="C3532" s="2" t="str">
        <f>"5126S0711"</f>
        <v>5126S0711</v>
      </c>
      <c r="D3532" t="s">
        <v>3634</v>
      </c>
      <c r="E3532" t="s">
        <v>4</v>
      </c>
      <c r="F3532">
        <v>24</v>
      </c>
      <c r="H3532" t="s">
        <v>5</v>
      </c>
      <c r="I3532" s="1">
        <v>82.64</v>
      </c>
      <c r="J3532" s="1">
        <v>82.64</v>
      </c>
      <c r="K3532" t="s">
        <v>6</v>
      </c>
    </row>
    <row r="3533" spans="1:11">
      <c r="A3533" t="s">
        <v>3284</v>
      </c>
      <c r="B3533">
        <v>371204</v>
      </c>
      <c r="C3533" s="2" t="str">
        <f>"5127"</f>
        <v>5127</v>
      </c>
      <c r="D3533" t="s">
        <v>3635</v>
      </c>
      <c r="E3533" t="s">
        <v>4</v>
      </c>
      <c r="F3533">
        <v>28</v>
      </c>
      <c r="H3533" t="s">
        <v>5</v>
      </c>
      <c r="I3533" s="1">
        <v>94.71</v>
      </c>
      <c r="J3533" s="1">
        <v>94.71</v>
      </c>
      <c r="K3533" t="s">
        <v>6</v>
      </c>
    </row>
    <row r="3534" spans="1:11">
      <c r="A3534" t="s">
        <v>3284</v>
      </c>
      <c r="B3534">
        <v>371205</v>
      </c>
      <c r="C3534" s="2" t="str">
        <f>"5127S0710"</f>
        <v>5127S0710</v>
      </c>
      <c r="D3534" t="s">
        <v>3636</v>
      </c>
      <c r="E3534" t="s">
        <v>4</v>
      </c>
      <c r="F3534">
        <v>28</v>
      </c>
      <c r="H3534" t="s">
        <v>5</v>
      </c>
      <c r="I3534" s="1">
        <v>115.21</v>
      </c>
      <c r="J3534" s="1">
        <v>115.21</v>
      </c>
      <c r="K3534" t="s">
        <v>6</v>
      </c>
    </row>
    <row r="3535" spans="1:11">
      <c r="A3535" t="s">
        <v>3284</v>
      </c>
      <c r="B3535">
        <v>369337</v>
      </c>
      <c r="C3535" s="2" t="str">
        <f>"5127S0711"</f>
        <v>5127S0711</v>
      </c>
      <c r="D3535" t="s">
        <v>3637</v>
      </c>
      <c r="E3535" t="s">
        <v>4</v>
      </c>
      <c r="F3535">
        <v>28</v>
      </c>
      <c r="H3535" t="s">
        <v>5</v>
      </c>
      <c r="I3535" s="1">
        <v>115.21</v>
      </c>
      <c r="J3535" s="1">
        <v>115.21</v>
      </c>
      <c r="K3535" t="s">
        <v>6</v>
      </c>
    </row>
    <row r="3536" spans="1:11">
      <c r="A3536" t="s">
        <v>3284</v>
      </c>
      <c r="B3536">
        <v>370107</v>
      </c>
      <c r="C3536" s="2" t="str">
        <f>"5128"</f>
        <v>5128</v>
      </c>
      <c r="D3536" t="s">
        <v>3638</v>
      </c>
      <c r="E3536" t="s">
        <v>4</v>
      </c>
      <c r="F3536">
        <v>22</v>
      </c>
      <c r="H3536" t="s">
        <v>5</v>
      </c>
      <c r="I3536" s="1">
        <v>107.65</v>
      </c>
      <c r="J3536" s="1">
        <v>107.65</v>
      </c>
      <c r="K3536" t="s">
        <v>6</v>
      </c>
    </row>
    <row r="3537" spans="1:11">
      <c r="A3537" t="s">
        <v>3284</v>
      </c>
      <c r="B3537">
        <v>369574</v>
      </c>
      <c r="C3537" s="2" t="str">
        <f>"5130"</f>
        <v>5130</v>
      </c>
      <c r="D3537" t="s">
        <v>3639</v>
      </c>
      <c r="E3537" t="s">
        <v>4</v>
      </c>
      <c r="F3537">
        <v>20.5</v>
      </c>
      <c r="H3537" t="s">
        <v>5</v>
      </c>
      <c r="I3537" s="1">
        <v>45.02</v>
      </c>
      <c r="J3537" s="1">
        <v>45.02</v>
      </c>
      <c r="K3537" t="s">
        <v>6</v>
      </c>
    </row>
    <row r="3538" spans="1:11">
      <c r="A3538" t="s">
        <v>3284</v>
      </c>
      <c r="B3538">
        <v>453590</v>
      </c>
      <c r="C3538" s="2" t="str">
        <f>"5131"</f>
        <v>5131</v>
      </c>
      <c r="D3538" t="s">
        <v>3640</v>
      </c>
      <c r="E3538" t="s">
        <v>4</v>
      </c>
      <c r="F3538">
        <v>32.6</v>
      </c>
      <c r="H3538" t="s">
        <v>5</v>
      </c>
      <c r="I3538" s="1">
        <v>74.459999999999994</v>
      </c>
      <c r="J3538" s="1">
        <v>74.459999999999994</v>
      </c>
      <c r="K3538" t="s">
        <v>6</v>
      </c>
    </row>
    <row r="3539" spans="1:11">
      <c r="A3539" t="s">
        <v>3284</v>
      </c>
      <c r="B3539">
        <v>370627</v>
      </c>
      <c r="C3539" s="2" t="str">
        <f>"5134"</f>
        <v>5134</v>
      </c>
      <c r="D3539" t="s">
        <v>3641</v>
      </c>
      <c r="E3539" t="s">
        <v>4</v>
      </c>
      <c r="F3539">
        <v>26</v>
      </c>
      <c r="H3539" t="s">
        <v>5</v>
      </c>
      <c r="I3539" s="1">
        <v>71.86</v>
      </c>
      <c r="J3539" s="1">
        <v>71.86</v>
      </c>
      <c r="K3539" t="s">
        <v>6</v>
      </c>
    </row>
    <row r="3540" spans="1:11">
      <c r="A3540" t="s">
        <v>3284</v>
      </c>
      <c r="B3540">
        <v>370284</v>
      </c>
      <c r="C3540" s="2" t="str">
        <f>"5135"</f>
        <v>5135</v>
      </c>
      <c r="D3540" t="s">
        <v>3642</v>
      </c>
      <c r="E3540" t="s">
        <v>4</v>
      </c>
      <c r="F3540">
        <v>29</v>
      </c>
      <c r="H3540" t="s">
        <v>5</v>
      </c>
      <c r="I3540" s="1">
        <v>112.79</v>
      </c>
      <c r="J3540" s="1">
        <v>112.79</v>
      </c>
      <c r="K3540" t="s">
        <v>6</v>
      </c>
    </row>
    <row r="3541" spans="1:11">
      <c r="A3541" t="s">
        <v>3284</v>
      </c>
      <c r="B3541">
        <v>370191</v>
      </c>
      <c r="C3541" s="2" t="str">
        <f>"5135SO617"</f>
        <v>5135SO617</v>
      </c>
      <c r="D3541" t="s">
        <v>3643</v>
      </c>
      <c r="E3541" t="s">
        <v>4</v>
      </c>
      <c r="F3541">
        <v>29</v>
      </c>
      <c r="H3541" t="s">
        <v>5</v>
      </c>
      <c r="I3541" s="1">
        <v>137.51</v>
      </c>
      <c r="J3541" s="1">
        <v>137.51</v>
      </c>
      <c r="K3541" t="s">
        <v>6</v>
      </c>
    </row>
    <row r="3542" spans="1:11">
      <c r="A3542" t="s">
        <v>3284</v>
      </c>
      <c r="B3542">
        <v>370311</v>
      </c>
      <c r="C3542" s="2" t="str">
        <f>"5137"</f>
        <v>5137</v>
      </c>
      <c r="D3542" t="s">
        <v>3414</v>
      </c>
      <c r="E3542" t="s">
        <v>4</v>
      </c>
      <c r="F3542">
        <v>31.1</v>
      </c>
      <c r="H3542" t="s">
        <v>5</v>
      </c>
      <c r="I3542" s="1">
        <v>71.28</v>
      </c>
      <c r="J3542" s="1">
        <v>71.28</v>
      </c>
      <c r="K3542" t="s">
        <v>6</v>
      </c>
    </row>
    <row r="3543" spans="1:11">
      <c r="A3543" t="s">
        <v>3284</v>
      </c>
      <c r="B3543">
        <v>370178</v>
      </c>
      <c r="C3543" s="2" t="str">
        <f>"5138"</f>
        <v>5138</v>
      </c>
      <c r="D3543" t="s">
        <v>3644</v>
      </c>
      <c r="E3543" t="s">
        <v>4</v>
      </c>
      <c r="F3543">
        <v>31</v>
      </c>
      <c r="H3543" t="s">
        <v>5</v>
      </c>
      <c r="I3543" s="1">
        <v>125.45</v>
      </c>
      <c r="J3543" s="1">
        <v>125.45</v>
      </c>
      <c r="K3543" t="s">
        <v>6</v>
      </c>
    </row>
    <row r="3544" spans="1:11">
      <c r="A3544" t="s">
        <v>3284</v>
      </c>
      <c r="B3544">
        <v>385622</v>
      </c>
      <c r="C3544" s="2" t="str">
        <f>"5139"</f>
        <v>5139</v>
      </c>
      <c r="D3544" t="s">
        <v>1033</v>
      </c>
      <c r="E3544" t="s">
        <v>4</v>
      </c>
      <c r="F3544">
        <v>23.6</v>
      </c>
      <c r="H3544" t="s">
        <v>5</v>
      </c>
      <c r="I3544" s="1">
        <v>50.51</v>
      </c>
      <c r="J3544" s="1">
        <v>50.51</v>
      </c>
      <c r="K3544" t="s">
        <v>6</v>
      </c>
    </row>
    <row r="3545" spans="1:11">
      <c r="A3545" t="s">
        <v>3284</v>
      </c>
      <c r="B3545">
        <v>368642</v>
      </c>
      <c r="C3545" s="2" t="str">
        <f>"5143"</f>
        <v>5143</v>
      </c>
      <c r="D3545" t="s">
        <v>3645</v>
      </c>
      <c r="E3545" t="s">
        <v>4</v>
      </c>
      <c r="F3545">
        <v>22</v>
      </c>
      <c r="H3545" t="s">
        <v>5</v>
      </c>
      <c r="I3545" s="1">
        <v>60.18</v>
      </c>
      <c r="J3545" s="1">
        <v>60.18</v>
      </c>
      <c r="K3545" t="s">
        <v>6</v>
      </c>
    </row>
    <row r="3546" spans="1:11">
      <c r="A3546" t="s">
        <v>3284</v>
      </c>
      <c r="B3546">
        <v>369163</v>
      </c>
      <c r="C3546" s="2" t="str">
        <f>"5154"</f>
        <v>5154</v>
      </c>
      <c r="D3546" t="s">
        <v>3646</v>
      </c>
      <c r="E3546" t="s">
        <v>4</v>
      </c>
      <c r="F3546">
        <v>19.600000000000001</v>
      </c>
      <c r="H3546" t="s">
        <v>5</v>
      </c>
      <c r="I3546" s="1">
        <v>67.540000000000006</v>
      </c>
      <c r="J3546" s="1">
        <v>67.540000000000006</v>
      </c>
      <c r="K3546" t="s">
        <v>6</v>
      </c>
    </row>
    <row r="3547" spans="1:11">
      <c r="A3547" t="s">
        <v>3284</v>
      </c>
      <c r="B3547">
        <v>369380</v>
      </c>
      <c r="C3547" s="2" t="str">
        <f>"5156"</f>
        <v>5156</v>
      </c>
      <c r="D3547" t="s">
        <v>3647</v>
      </c>
      <c r="E3547" t="s">
        <v>4</v>
      </c>
      <c r="F3547">
        <v>22</v>
      </c>
      <c r="H3547" t="s">
        <v>5</v>
      </c>
      <c r="I3547" s="1">
        <v>76.77</v>
      </c>
      <c r="J3547" s="1">
        <v>76.77</v>
      </c>
      <c r="K3547" t="s">
        <v>6</v>
      </c>
    </row>
    <row r="3548" spans="1:11">
      <c r="A3548" t="s">
        <v>3284</v>
      </c>
      <c r="B3548">
        <v>369404</v>
      </c>
      <c r="C3548" s="2" t="str">
        <f>"5160"</f>
        <v>5160</v>
      </c>
      <c r="D3548" t="s">
        <v>3648</v>
      </c>
      <c r="E3548" t="s">
        <v>4</v>
      </c>
      <c r="F3548">
        <v>28.6</v>
      </c>
      <c r="H3548" t="s">
        <v>5</v>
      </c>
      <c r="I3548" s="1">
        <v>150.63999999999999</v>
      </c>
      <c r="J3548" s="1">
        <v>150.63999999999999</v>
      </c>
      <c r="K3548" t="s">
        <v>6</v>
      </c>
    </row>
    <row r="3549" spans="1:11">
      <c r="A3549" t="s">
        <v>3284</v>
      </c>
      <c r="B3549">
        <v>370177</v>
      </c>
      <c r="C3549" s="2" t="str">
        <f>"5161"</f>
        <v>5161</v>
      </c>
      <c r="D3549" t="s">
        <v>3649</v>
      </c>
      <c r="E3549" t="s">
        <v>4</v>
      </c>
      <c r="F3549">
        <v>29</v>
      </c>
      <c r="H3549" t="s">
        <v>5</v>
      </c>
      <c r="I3549" s="1">
        <v>113.43</v>
      </c>
      <c r="J3549" s="1">
        <v>113.43</v>
      </c>
      <c r="K3549" t="s">
        <v>6</v>
      </c>
    </row>
    <row r="3550" spans="1:11">
      <c r="A3550" t="s">
        <v>3284</v>
      </c>
      <c r="B3550">
        <v>369180</v>
      </c>
      <c r="C3550" s="2" t="str">
        <f>"5162"</f>
        <v>5162</v>
      </c>
      <c r="D3550" t="s">
        <v>3650</v>
      </c>
      <c r="E3550" t="s">
        <v>4</v>
      </c>
      <c r="F3550">
        <v>38</v>
      </c>
      <c r="H3550" t="s">
        <v>5</v>
      </c>
      <c r="I3550" s="1">
        <v>115.15</v>
      </c>
      <c r="J3550" s="1">
        <v>115.15</v>
      </c>
      <c r="K3550" t="s">
        <v>6</v>
      </c>
    </row>
    <row r="3551" spans="1:11">
      <c r="A3551" t="s">
        <v>3284</v>
      </c>
      <c r="B3551">
        <v>368651</v>
      </c>
      <c r="C3551" s="2" t="str">
        <f>"5164"</f>
        <v>5164</v>
      </c>
      <c r="D3551" t="s">
        <v>3651</v>
      </c>
      <c r="E3551" t="s">
        <v>4</v>
      </c>
      <c r="F3551">
        <v>18.97</v>
      </c>
      <c r="H3551" t="s">
        <v>5</v>
      </c>
      <c r="I3551" s="1">
        <v>77.489999999999995</v>
      </c>
      <c r="J3551" s="1">
        <v>77.489999999999995</v>
      </c>
      <c r="K3551" t="s">
        <v>6</v>
      </c>
    </row>
    <row r="3552" spans="1:11">
      <c r="A3552" t="s">
        <v>3284</v>
      </c>
      <c r="B3552">
        <v>369456</v>
      </c>
      <c r="C3552" s="2" t="str">
        <f>"5201"</f>
        <v>5201</v>
      </c>
      <c r="D3552" t="s">
        <v>3652</v>
      </c>
      <c r="E3552" t="s">
        <v>4</v>
      </c>
      <c r="F3552">
        <v>10</v>
      </c>
      <c r="H3552" t="s">
        <v>5</v>
      </c>
      <c r="I3552" s="1">
        <v>27.99</v>
      </c>
      <c r="J3552" s="1">
        <v>27.99</v>
      </c>
      <c r="K3552" t="s">
        <v>6</v>
      </c>
    </row>
    <row r="3553" spans="1:11">
      <c r="A3553" t="s">
        <v>3284</v>
      </c>
      <c r="B3553">
        <v>369217</v>
      </c>
      <c r="C3553" s="2" t="str">
        <f>"5202"</f>
        <v>5202</v>
      </c>
      <c r="D3553" t="s">
        <v>3653</v>
      </c>
      <c r="E3553" t="s">
        <v>4</v>
      </c>
      <c r="F3553">
        <v>25</v>
      </c>
      <c r="H3553" t="s">
        <v>5</v>
      </c>
      <c r="I3553" s="1">
        <v>87.15</v>
      </c>
      <c r="J3553" s="1">
        <v>87.15</v>
      </c>
      <c r="K3553" t="s">
        <v>6</v>
      </c>
    </row>
    <row r="3554" spans="1:11">
      <c r="A3554" t="s">
        <v>3284</v>
      </c>
      <c r="B3554">
        <v>369228</v>
      </c>
      <c r="C3554" s="2" t="str">
        <f>"5203"</f>
        <v>5203</v>
      </c>
      <c r="D3554" t="s">
        <v>3654</v>
      </c>
      <c r="E3554" t="s">
        <v>4</v>
      </c>
      <c r="F3554">
        <v>30.1</v>
      </c>
      <c r="H3554" t="s">
        <v>5</v>
      </c>
      <c r="I3554" s="1">
        <v>99</v>
      </c>
      <c r="J3554" s="1">
        <v>99</v>
      </c>
      <c r="K3554" t="s">
        <v>6</v>
      </c>
    </row>
    <row r="3555" spans="1:11">
      <c r="A3555" t="s">
        <v>3284</v>
      </c>
      <c r="B3555">
        <v>368808</v>
      </c>
      <c r="C3555" s="2" t="str">
        <f>"5205"</f>
        <v>5205</v>
      </c>
      <c r="D3555" t="s">
        <v>3655</v>
      </c>
      <c r="E3555" t="s">
        <v>4</v>
      </c>
      <c r="F3555">
        <v>25.3</v>
      </c>
      <c r="H3555" t="s">
        <v>5</v>
      </c>
      <c r="I3555" s="1">
        <v>50.93</v>
      </c>
      <c r="J3555" s="1">
        <v>50.93</v>
      </c>
      <c r="K3555" t="s">
        <v>6</v>
      </c>
    </row>
    <row r="3556" spans="1:11">
      <c r="A3556" t="s">
        <v>3284</v>
      </c>
      <c r="B3556">
        <v>368692</v>
      </c>
      <c r="C3556" s="2" t="str">
        <f>"5206"</f>
        <v>5206</v>
      </c>
      <c r="D3556" t="s">
        <v>3656</v>
      </c>
      <c r="E3556" t="s">
        <v>4</v>
      </c>
      <c r="F3556">
        <v>22.3</v>
      </c>
      <c r="H3556" t="s">
        <v>5</v>
      </c>
      <c r="I3556" s="1">
        <v>53.68</v>
      </c>
      <c r="J3556" s="1">
        <v>53.68</v>
      </c>
      <c r="K3556" t="s">
        <v>6</v>
      </c>
    </row>
    <row r="3557" spans="1:11">
      <c r="A3557" t="s">
        <v>3284</v>
      </c>
      <c r="B3557">
        <v>369497</v>
      </c>
      <c r="C3557" s="2" t="str">
        <f>"5210"</f>
        <v>5210</v>
      </c>
      <c r="D3557" t="s">
        <v>3657</v>
      </c>
      <c r="E3557" t="s">
        <v>4</v>
      </c>
      <c r="F3557">
        <v>25.3</v>
      </c>
      <c r="H3557" t="s">
        <v>5</v>
      </c>
      <c r="I3557" s="1">
        <v>64.510000000000005</v>
      </c>
      <c r="J3557" s="1">
        <v>64.510000000000005</v>
      </c>
      <c r="K3557" t="s">
        <v>6</v>
      </c>
    </row>
    <row r="3558" spans="1:11">
      <c r="A3558" t="s">
        <v>3284</v>
      </c>
      <c r="B3558">
        <v>369570</v>
      </c>
      <c r="C3558" s="2" t="str">
        <f>"5212"</f>
        <v>5212</v>
      </c>
      <c r="D3558" t="s">
        <v>3658</v>
      </c>
      <c r="E3558" t="s">
        <v>4</v>
      </c>
      <c r="F3558">
        <v>21.47</v>
      </c>
      <c r="H3558" t="s">
        <v>5</v>
      </c>
      <c r="I3558" s="1">
        <v>58.88</v>
      </c>
      <c r="J3558" s="1">
        <v>58.88</v>
      </c>
      <c r="K3558" t="s">
        <v>6</v>
      </c>
    </row>
    <row r="3559" spans="1:11">
      <c r="A3559" t="s">
        <v>3284</v>
      </c>
      <c r="B3559">
        <v>370291</v>
      </c>
      <c r="C3559" s="2" t="str">
        <f>"5213"</f>
        <v>5213</v>
      </c>
      <c r="D3559" t="s">
        <v>3659</v>
      </c>
      <c r="E3559" t="s">
        <v>4</v>
      </c>
      <c r="F3559">
        <v>13</v>
      </c>
      <c r="H3559" t="s">
        <v>5</v>
      </c>
      <c r="I3559" s="1">
        <v>37.090000000000003</v>
      </c>
      <c r="J3559" s="1">
        <v>37.090000000000003</v>
      </c>
      <c r="K3559" t="s">
        <v>6</v>
      </c>
    </row>
    <row r="3560" spans="1:11">
      <c r="A3560" t="s">
        <v>3284</v>
      </c>
      <c r="B3560">
        <v>370443</v>
      </c>
      <c r="C3560" s="2" t="str">
        <f>"5213B"</f>
        <v>5213B</v>
      </c>
      <c r="D3560" t="s">
        <v>3660</v>
      </c>
      <c r="E3560" t="s">
        <v>4</v>
      </c>
      <c r="F3560">
        <v>13</v>
      </c>
      <c r="H3560" t="s">
        <v>5</v>
      </c>
      <c r="I3560" s="1">
        <v>46.46</v>
      </c>
      <c r="J3560" s="1">
        <v>46.46</v>
      </c>
      <c r="K3560" t="s">
        <v>6</v>
      </c>
    </row>
    <row r="3561" spans="1:11">
      <c r="A3561" t="s">
        <v>3284</v>
      </c>
      <c r="B3561">
        <v>369653</v>
      </c>
      <c r="C3561" s="2" t="str">
        <f>"5221"</f>
        <v>5221</v>
      </c>
      <c r="D3561" t="s">
        <v>3661</v>
      </c>
      <c r="E3561" t="s">
        <v>4</v>
      </c>
      <c r="F3561">
        <v>9</v>
      </c>
      <c r="H3561" t="s">
        <v>5</v>
      </c>
      <c r="I3561" s="1">
        <v>96.11</v>
      </c>
      <c r="J3561" s="1">
        <v>96.11</v>
      </c>
      <c r="K3561" t="s">
        <v>6</v>
      </c>
    </row>
    <row r="3562" spans="1:11">
      <c r="A3562" t="s">
        <v>3284</v>
      </c>
      <c r="B3562">
        <v>369183</v>
      </c>
      <c r="C3562" s="2" t="str">
        <f>"5258"</f>
        <v>5258</v>
      </c>
      <c r="D3562" t="s">
        <v>3662</v>
      </c>
      <c r="E3562" t="s">
        <v>4</v>
      </c>
      <c r="F3562">
        <v>12</v>
      </c>
      <c r="H3562" t="s">
        <v>5</v>
      </c>
      <c r="I3562" s="1">
        <v>58.59</v>
      </c>
      <c r="J3562" s="1">
        <v>58.59</v>
      </c>
      <c r="K3562" t="s">
        <v>6</v>
      </c>
    </row>
    <row r="3563" spans="1:11">
      <c r="A3563" t="s">
        <v>3284</v>
      </c>
      <c r="B3563">
        <v>369378</v>
      </c>
      <c r="C3563" s="2" t="str">
        <f>"5260"</f>
        <v>5260</v>
      </c>
      <c r="D3563" t="s">
        <v>3663</v>
      </c>
      <c r="E3563" t="s">
        <v>4</v>
      </c>
      <c r="F3563">
        <v>25</v>
      </c>
      <c r="H3563" t="s">
        <v>5</v>
      </c>
      <c r="I3563" s="1">
        <v>42.5</v>
      </c>
      <c r="J3563" s="1">
        <v>42.5</v>
      </c>
      <c r="K3563" t="s">
        <v>6</v>
      </c>
    </row>
    <row r="3564" spans="1:11">
      <c r="A3564" t="s">
        <v>3284</v>
      </c>
      <c r="B3564">
        <v>369447</v>
      </c>
      <c r="C3564" s="2" t="str">
        <f>"5262"</f>
        <v>5262</v>
      </c>
      <c r="D3564" t="s">
        <v>3664</v>
      </c>
      <c r="E3564" t="s">
        <v>4</v>
      </c>
      <c r="F3564">
        <v>39.5</v>
      </c>
      <c r="H3564" t="s">
        <v>5</v>
      </c>
      <c r="I3564" s="1">
        <v>93.37</v>
      </c>
      <c r="J3564" s="1">
        <v>93.37</v>
      </c>
      <c r="K3564" t="s">
        <v>6</v>
      </c>
    </row>
    <row r="3565" spans="1:11">
      <c r="A3565" t="s">
        <v>3284</v>
      </c>
      <c r="B3565">
        <v>369161</v>
      </c>
      <c r="C3565" s="2" t="str">
        <f>"5272"</f>
        <v>5272</v>
      </c>
      <c r="D3565" t="s">
        <v>3665</v>
      </c>
      <c r="E3565" t="s">
        <v>4</v>
      </c>
      <c r="F3565">
        <v>34</v>
      </c>
      <c r="H3565" t="s">
        <v>5</v>
      </c>
      <c r="I3565" s="1">
        <v>74.319999999999993</v>
      </c>
      <c r="J3565" s="1">
        <v>74.319999999999993</v>
      </c>
      <c r="K3565" t="s">
        <v>6</v>
      </c>
    </row>
    <row r="3566" spans="1:11">
      <c r="A3566" t="s">
        <v>3284</v>
      </c>
      <c r="B3566">
        <v>370249</v>
      </c>
      <c r="C3566" s="2" t="str">
        <f>"5273"</f>
        <v>5273</v>
      </c>
      <c r="D3566" t="s">
        <v>3666</v>
      </c>
      <c r="E3566" t="s">
        <v>4</v>
      </c>
      <c r="F3566">
        <v>16.3</v>
      </c>
      <c r="H3566" t="s">
        <v>5</v>
      </c>
      <c r="I3566" s="1">
        <v>43</v>
      </c>
      <c r="J3566" s="1">
        <v>43</v>
      </c>
      <c r="K3566" t="s">
        <v>6</v>
      </c>
    </row>
    <row r="3567" spans="1:11">
      <c r="A3567" t="s">
        <v>3284</v>
      </c>
      <c r="B3567">
        <v>369155</v>
      </c>
      <c r="C3567" s="2" t="str">
        <f>"5292"</f>
        <v>5292</v>
      </c>
      <c r="D3567" t="s">
        <v>3667</v>
      </c>
      <c r="E3567" t="s">
        <v>4</v>
      </c>
      <c r="F3567">
        <v>24.6</v>
      </c>
      <c r="H3567" t="s">
        <v>5</v>
      </c>
      <c r="I3567" s="1">
        <v>122.37</v>
      </c>
      <c r="J3567" s="1">
        <v>122.37</v>
      </c>
      <c r="K3567" t="s">
        <v>6</v>
      </c>
    </row>
    <row r="3568" spans="1:11">
      <c r="A3568" t="s">
        <v>3284</v>
      </c>
      <c r="B3568">
        <v>370250</v>
      </c>
      <c r="C3568" s="2" t="str">
        <f>"5293"</f>
        <v>5293</v>
      </c>
      <c r="D3568" t="s">
        <v>3668</v>
      </c>
      <c r="E3568" t="s">
        <v>4</v>
      </c>
      <c r="F3568">
        <v>22</v>
      </c>
      <c r="H3568" t="s">
        <v>5</v>
      </c>
      <c r="I3568" s="1">
        <v>122.37</v>
      </c>
      <c r="J3568" s="1">
        <v>122.37</v>
      </c>
      <c r="K3568" t="s">
        <v>6</v>
      </c>
    </row>
    <row r="3569" spans="1:11">
      <c r="A3569" t="s">
        <v>3284</v>
      </c>
      <c r="B3569">
        <v>369181</v>
      </c>
      <c r="C3569" s="2" t="str">
        <f>"5294"</f>
        <v>5294</v>
      </c>
      <c r="D3569" t="s">
        <v>3669</v>
      </c>
      <c r="E3569" t="s">
        <v>4</v>
      </c>
      <c r="F3569">
        <v>22</v>
      </c>
      <c r="H3569" t="s">
        <v>5</v>
      </c>
      <c r="I3569" s="1">
        <v>126.11</v>
      </c>
      <c r="J3569" s="1">
        <v>126.11</v>
      </c>
      <c r="K3569" t="s">
        <v>6</v>
      </c>
    </row>
    <row r="3570" spans="1:11">
      <c r="A3570" t="s">
        <v>3284</v>
      </c>
      <c r="B3570">
        <v>368655</v>
      </c>
      <c r="C3570" s="2" t="str">
        <f>"5295"</f>
        <v>5295</v>
      </c>
      <c r="D3570" t="s">
        <v>3670</v>
      </c>
      <c r="E3570" t="s">
        <v>4</v>
      </c>
      <c r="F3570">
        <v>20.8</v>
      </c>
      <c r="H3570" t="s">
        <v>5</v>
      </c>
      <c r="I3570" s="1">
        <v>122.37</v>
      </c>
      <c r="J3570" s="1">
        <v>122.37</v>
      </c>
      <c r="K3570" t="s">
        <v>6</v>
      </c>
    </row>
    <row r="3571" spans="1:11">
      <c r="A3571" t="s">
        <v>3284</v>
      </c>
      <c r="B3571">
        <v>369359</v>
      </c>
      <c r="C3571" s="2" t="str">
        <f>"5297"</f>
        <v>5297</v>
      </c>
      <c r="D3571" t="s">
        <v>3671</v>
      </c>
      <c r="E3571" t="s">
        <v>4</v>
      </c>
      <c r="F3571">
        <v>22</v>
      </c>
      <c r="H3571" t="s">
        <v>5</v>
      </c>
      <c r="I3571" s="1">
        <v>51.08</v>
      </c>
      <c r="J3571" s="1">
        <v>51.08</v>
      </c>
      <c r="K3571" t="s">
        <v>6</v>
      </c>
    </row>
    <row r="3572" spans="1:11">
      <c r="A3572" t="s">
        <v>3284</v>
      </c>
      <c r="B3572">
        <v>369343</v>
      </c>
      <c r="C3572" s="2" t="str">
        <f>"5298"</f>
        <v>5298</v>
      </c>
      <c r="D3572" t="s">
        <v>3672</v>
      </c>
      <c r="E3572" t="s">
        <v>4</v>
      </c>
      <c r="F3572">
        <v>24.5</v>
      </c>
      <c r="H3572" t="s">
        <v>5</v>
      </c>
      <c r="I3572" s="1">
        <v>77.78</v>
      </c>
      <c r="J3572" s="1">
        <v>77.78</v>
      </c>
      <c r="K3572" t="s">
        <v>6</v>
      </c>
    </row>
    <row r="3573" spans="1:11">
      <c r="A3573" t="s">
        <v>3284</v>
      </c>
      <c r="B3573">
        <v>369271</v>
      </c>
      <c r="C3573" s="2" t="str">
        <f>"53"</f>
        <v>53</v>
      </c>
      <c r="D3573" t="s">
        <v>3673</v>
      </c>
      <c r="E3573" t="s">
        <v>4</v>
      </c>
      <c r="F3573">
        <v>34.200000000000003</v>
      </c>
      <c r="H3573" t="s">
        <v>5</v>
      </c>
      <c r="I3573" s="1">
        <v>75.319999999999993</v>
      </c>
      <c r="J3573" s="1">
        <v>75.319999999999993</v>
      </c>
      <c r="K3573" t="s">
        <v>6</v>
      </c>
    </row>
    <row r="3574" spans="1:11">
      <c r="A3574" t="s">
        <v>3284</v>
      </c>
      <c r="B3574">
        <v>442295</v>
      </c>
      <c r="C3574" s="2" t="str">
        <f>"53/11680"</f>
        <v>53/11680</v>
      </c>
      <c r="D3574" t="s">
        <v>3674</v>
      </c>
      <c r="E3574" t="s">
        <v>4</v>
      </c>
      <c r="F3574">
        <v>23.1</v>
      </c>
      <c r="H3574" t="s">
        <v>5</v>
      </c>
      <c r="I3574" s="1">
        <v>70.42</v>
      </c>
      <c r="J3574" s="1">
        <v>70.42</v>
      </c>
      <c r="K3574" t="s">
        <v>6</v>
      </c>
    </row>
    <row r="3575" spans="1:11">
      <c r="A3575" t="s">
        <v>3284</v>
      </c>
      <c r="B3575">
        <v>370538</v>
      </c>
      <c r="C3575" s="2" t="str">
        <f>"5304"</f>
        <v>5304</v>
      </c>
      <c r="D3575" t="s">
        <v>3675</v>
      </c>
      <c r="E3575" t="s">
        <v>4</v>
      </c>
      <c r="F3575">
        <v>9</v>
      </c>
      <c r="H3575" t="s">
        <v>5</v>
      </c>
      <c r="I3575" s="1">
        <v>58.15</v>
      </c>
      <c r="J3575" s="1">
        <v>58.15</v>
      </c>
      <c r="K3575" t="s">
        <v>6</v>
      </c>
    </row>
    <row r="3576" spans="1:11">
      <c r="A3576" t="s">
        <v>3284</v>
      </c>
      <c r="B3576">
        <v>369669</v>
      </c>
      <c r="C3576" s="2" t="str">
        <f>"5307"</f>
        <v>5307</v>
      </c>
      <c r="D3576" t="s">
        <v>3676</v>
      </c>
      <c r="E3576" t="s">
        <v>4</v>
      </c>
      <c r="F3576">
        <v>37.700000000000003</v>
      </c>
      <c r="H3576" t="s">
        <v>5</v>
      </c>
      <c r="I3576" s="1">
        <v>71.58</v>
      </c>
      <c r="J3576" s="1">
        <v>71.58</v>
      </c>
      <c r="K3576" t="s">
        <v>6</v>
      </c>
    </row>
    <row r="3577" spans="1:11">
      <c r="A3577" t="s">
        <v>3284</v>
      </c>
      <c r="B3577">
        <v>369218</v>
      </c>
      <c r="C3577" s="2" t="str">
        <f>"5309"</f>
        <v>5309</v>
      </c>
      <c r="D3577" t="s">
        <v>3677</v>
      </c>
      <c r="E3577" t="s">
        <v>4</v>
      </c>
      <c r="F3577">
        <v>37.6</v>
      </c>
      <c r="H3577" t="s">
        <v>5</v>
      </c>
      <c r="I3577" s="1">
        <v>69.260000000000005</v>
      </c>
      <c r="J3577" s="1">
        <v>69.260000000000005</v>
      </c>
      <c r="K3577" t="s">
        <v>6</v>
      </c>
    </row>
    <row r="3578" spans="1:11">
      <c r="A3578" t="s">
        <v>3284</v>
      </c>
      <c r="B3578">
        <v>369550</v>
      </c>
      <c r="C3578" s="2" t="str">
        <f>"5310"</f>
        <v>5310</v>
      </c>
      <c r="D3578" t="s">
        <v>3678</v>
      </c>
      <c r="E3578" t="s">
        <v>4</v>
      </c>
      <c r="F3578">
        <v>26.5</v>
      </c>
      <c r="H3578" t="s">
        <v>5</v>
      </c>
      <c r="I3578" s="1">
        <v>85.42</v>
      </c>
      <c r="J3578" s="1">
        <v>85.42</v>
      </c>
      <c r="K3578" t="s">
        <v>6</v>
      </c>
    </row>
    <row r="3579" spans="1:11">
      <c r="A3579" t="s">
        <v>3284</v>
      </c>
      <c r="B3579">
        <v>369278</v>
      </c>
      <c r="C3579" s="2" t="str">
        <f>"5314"</f>
        <v>5314</v>
      </c>
      <c r="D3579" t="s">
        <v>3679</v>
      </c>
      <c r="E3579" t="s">
        <v>4</v>
      </c>
      <c r="F3579">
        <v>30.3</v>
      </c>
      <c r="H3579" t="s">
        <v>5</v>
      </c>
      <c r="I3579" s="1">
        <v>80.52</v>
      </c>
      <c r="J3579" s="1">
        <v>80.52</v>
      </c>
      <c r="K3579" t="s">
        <v>6</v>
      </c>
    </row>
    <row r="3580" spans="1:11">
      <c r="A3580" t="s">
        <v>3284</v>
      </c>
      <c r="B3580">
        <v>370173</v>
      </c>
      <c r="C3580" s="2" t="str">
        <f>"5315"</f>
        <v>5315</v>
      </c>
      <c r="D3580" t="s">
        <v>3680</v>
      </c>
      <c r="E3580" t="s">
        <v>4</v>
      </c>
      <c r="F3580">
        <v>29.7</v>
      </c>
      <c r="H3580" t="s">
        <v>5</v>
      </c>
      <c r="I3580" s="1">
        <v>78.489999999999995</v>
      </c>
      <c r="J3580" s="1">
        <v>78.489999999999995</v>
      </c>
      <c r="K3580" t="s">
        <v>6</v>
      </c>
    </row>
    <row r="3581" spans="1:11">
      <c r="A3581" t="s">
        <v>3284</v>
      </c>
      <c r="B3581">
        <v>370154</v>
      </c>
      <c r="C3581" s="2" t="str">
        <f>"5317"</f>
        <v>5317</v>
      </c>
      <c r="D3581" t="s">
        <v>3681</v>
      </c>
      <c r="E3581" t="s">
        <v>4</v>
      </c>
      <c r="F3581">
        <v>25</v>
      </c>
      <c r="H3581" t="s">
        <v>5</v>
      </c>
      <c r="I3581" s="1">
        <v>80.52</v>
      </c>
      <c r="J3581" s="1">
        <v>80.52</v>
      </c>
      <c r="K3581" t="s">
        <v>6</v>
      </c>
    </row>
    <row r="3582" spans="1:11">
      <c r="A3582" t="s">
        <v>3284</v>
      </c>
      <c r="B3582">
        <v>370587</v>
      </c>
      <c r="C3582" s="2" t="str">
        <f>"5355"</f>
        <v>5355</v>
      </c>
      <c r="D3582" t="s">
        <v>3682</v>
      </c>
      <c r="E3582" t="s">
        <v>4</v>
      </c>
      <c r="F3582">
        <v>32</v>
      </c>
      <c r="H3582" t="s">
        <v>5</v>
      </c>
      <c r="I3582" s="1">
        <v>74.17</v>
      </c>
      <c r="J3582" s="1">
        <v>74.17</v>
      </c>
      <c r="K3582" t="s">
        <v>6</v>
      </c>
    </row>
    <row r="3583" spans="1:11">
      <c r="A3583" t="s">
        <v>3284</v>
      </c>
      <c r="B3583">
        <v>373236</v>
      </c>
      <c r="C3583" s="2" t="str">
        <f>"5360"</f>
        <v>5360</v>
      </c>
      <c r="D3583" t="s">
        <v>3683</v>
      </c>
      <c r="E3583" t="s">
        <v>4</v>
      </c>
      <c r="F3583">
        <v>28.7</v>
      </c>
      <c r="H3583" t="s">
        <v>5</v>
      </c>
      <c r="I3583" s="1">
        <v>69.12</v>
      </c>
      <c r="J3583" s="1">
        <v>69.12</v>
      </c>
      <c r="K3583" t="s">
        <v>6</v>
      </c>
    </row>
    <row r="3584" spans="1:11">
      <c r="A3584" t="s">
        <v>3284</v>
      </c>
      <c r="B3584">
        <v>387220</v>
      </c>
      <c r="C3584" s="2" t="str">
        <f>"5362"</f>
        <v>5362</v>
      </c>
      <c r="D3584" t="s">
        <v>3684</v>
      </c>
      <c r="E3584" t="s">
        <v>4</v>
      </c>
      <c r="F3584">
        <v>22</v>
      </c>
      <c r="H3584" t="s">
        <v>5</v>
      </c>
      <c r="I3584" s="1">
        <v>37.090000000000003</v>
      </c>
      <c r="J3584" s="1">
        <v>37.090000000000003</v>
      </c>
      <c r="K3584" t="s">
        <v>6</v>
      </c>
    </row>
    <row r="3585" spans="1:11">
      <c r="A3585" t="s">
        <v>3284</v>
      </c>
      <c r="B3585">
        <v>381932</v>
      </c>
      <c r="C3585" s="2" t="str">
        <f>"5364"</f>
        <v>5364</v>
      </c>
      <c r="D3585" t="s">
        <v>3685</v>
      </c>
      <c r="E3585" t="s">
        <v>4</v>
      </c>
      <c r="F3585">
        <v>23.9</v>
      </c>
      <c r="H3585" t="s">
        <v>5</v>
      </c>
      <c r="I3585" s="1">
        <v>42.13</v>
      </c>
      <c r="J3585" s="1">
        <v>42.13</v>
      </c>
      <c r="K3585" t="s">
        <v>6</v>
      </c>
    </row>
    <row r="3586" spans="1:11">
      <c r="A3586" t="s">
        <v>3284</v>
      </c>
      <c r="B3586">
        <v>370438</v>
      </c>
      <c r="C3586" s="2" t="str">
        <f>"539HT"</f>
        <v>539HT</v>
      </c>
      <c r="D3586" t="s">
        <v>3686</v>
      </c>
      <c r="E3586" t="s">
        <v>4</v>
      </c>
      <c r="F3586">
        <v>30.2</v>
      </c>
      <c r="H3586" t="s">
        <v>5</v>
      </c>
      <c r="I3586" s="1">
        <v>84.41</v>
      </c>
      <c r="J3586" s="1">
        <v>84.41</v>
      </c>
      <c r="K3586" t="s">
        <v>6</v>
      </c>
    </row>
    <row r="3587" spans="1:11">
      <c r="A3587" t="s">
        <v>3284</v>
      </c>
      <c r="B3587">
        <v>369537</v>
      </c>
      <c r="C3587" s="2" t="str">
        <f>"5460"</f>
        <v>5460</v>
      </c>
      <c r="D3587" t="s">
        <v>3687</v>
      </c>
      <c r="E3587" t="s">
        <v>4</v>
      </c>
      <c r="F3587">
        <v>16</v>
      </c>
      <c r="H3587" t="s">
        <v>5</v>
      </c>
      <c r="I3587" s="1">
        <v>64.650000000000006</v>
      </c>
      <c r="J3587" s="1">
        <v>64.650000000000006</v>
      </c>
      <c r="K3587" t="s">
        <v>6</v>
      </c>
    </row>
    <row r="3588" spans="1:11">
      <c r="A3588" t="s">
        <v>3284</v>
      </c>
      <c r="B3588">
        <v>452224</v>
      </c>
      <c r="C3588" s="2" t="str">
        <f>"606HT"</f>
        <v>606HT</v>
      </c>
      <c r="D3588" t="s">
        <v>3688</v>
      </c>
      <c r="E3588" t="s">
        <v>4</v>
      </c>
      <c r="F3588">
        <v>21.9</v>
      </c>
      <c r="H3588" t="s">
        <v>5</v>
      </c>
      <c r="I3588" s="1">
        <v>85.42</v>
      </c>
      <c r="J3588" s="1">
        <v>85.42</v>
      </c>
      <c r="K3588" t="s">
        <v>6</v>
      </c>
    </row>
    <row r="3589" spans="1:11">
      <c r="A3589" t="s">
        <v>3284</v>
      </c>
      <c r="B3589">
        <v>369489</v>
      </c>
      <c r="C3589" s="2" t="str">
        <f>"610HT"</f>
        <v>610HT</v>
      </c>
      <c r="D3589" t="s">
        <v>3689</v>
      </c>
      <c r="E3589" t="s">
        <v>4</v>
      </c>
      <c r="F3589">
        <v>27</v>
      </c>
      <c r="H3589" t="s">
        <v>5</v>
      </c>
      <c r="I3589" s="1">
        <v>102.17</v>
      </c>
      <c r="J3589" s="1">
        <v>102.17</v>
      </c>
      <c r="K3589" t="s">
        <v>6</v>
      </c>
    </row>
    <row r="3590" spans="1:11">
      <c r="A3590" t="s">
        <v>3284</v>
      </c>
      <c r="B3590">
        <v>447746</v>
      </c>
      <c r="C3590" s="2" t="str">
        <f>"618HT"</f>
        <v>618HT</v>
      </c>
      <c r="D3590" t="s">
        <v>3690</v>
      </c>
      <c r="E3590" t="s">
        <v>4</v>
      </c>
      <c r="F3590">
        <v>17.5</v>
      </c>
      <c r="H3590" t="s">
        <v>5</v>
      </c>
      <c r="I3590" s="1">
        <v>68.11</v>
      </c>
      <c r="J3590" s="1">
        <v>68.11</v>
      </c>
      <c r="K3590" t="s">
        <v>6</v>
      </c>
    </row>
    <row r="3591" spans="1:11">
      <c r="A3591" t="s">
        <v>3284</v>
      </c>
      <c r="B3591">
        <v>369425</v>
      </c>
      <c r="C3591" s="2" t="str">
        <f>"633HT"</f>
        <v>633HT</v>
      </c>
      <c r="D3591" t="s">
        <v>3691</v>
      </c>
      <c r="E3591" t="s">
        <v>4</v>
      </c>
      <c r="F3591">
        <v>17</v>
      </c>
      <c r="H3591" t="s">
        <v>5</v>
      </c>
      <c r="I3591" s="1">
        <v>88.31</v>
      </c>
      <c r="J3591" s="1">
        <v>88.31</v>
      </c>
      <c r="K3591" t="s">
        <v>6</v>
      </c>
    </row>
    <row r="3592" spans="1:11">
      <c r="A3592" t="s">
        <v>3284</v>
      </c>
      <c r="B3592">
        <v>369650</v>
      </c>
      <c r="C3592" s="2" t="str">
        <f>"6425"</f>
        <v>6425</v>
      </c>
      <c r="D3592" t="s">
        <v>3692</v>
      </c>
      <c r="E3592" t="s">
        <v>4</v>
      </c>
      <c r="F3592">
        <v>16</v>
      </c>
      <c r="H3592" t="s">
        <v>5</v>
      </c>
      <c r="I3592" s="1">
        <v>83.69</v>
      </c>
      <c r="J3592" s="1">
        <v>83.69</v>
      </c>
      <c r="K3592" t="s">
        <v>6</v>
      </c>
    </row>
    <row r="3593" spans="1:11">
      <c r="A3593" t="s">
        <v>3284</v>
      </c>
      <c r="B3593">
        <v>379625</v>
      </c>
      <c r="C3593" s="2" t="str">
        <f>"70017"</f>
        <v>70017</v>
      </c>
      <c r="D3593" t="s">
        <v>3693</v>
      </c>
      <c r="E3593" t="s">
        <v>4</v>
      </c>
      <c r="F3593">
        <v>21.23</v>
      </c>
      <c r="H3593" t="s">
        <v>5</v>
      </c>
      <c r="I3593" s="1">
        <v>169.7</v>
      </c>
      <c r="J3593" s="1">
        <v>169.7</v>
      </c>
      <c r="K3593" t="s">
        <v>6</v>
      </c>
    </row>
    <row r="3594" spans="1:11">
      <c r="A3594" t="s">
        <v>3284</v>
      </c>
      <c r="B3594">
        <v>369414</v>
      </c>
      <c r="C3594" s="2" t="str">
        <f>"70022"</f>
        <v>70022</v>
      </c>
      <c r="D3594" t="s">
        <v>3694</v>
      </c>
      <c r="E3594" t="s">
        <v>4</v>
      </c>
      <c r="F3594">
        <v>7</v>
      </c>
      <c r="H3594" t="s">
        <v>5</v>
      </c>
      <c r="I3594" s="1">
        <v>69.260000000000005</v>
      </c>
      <c r="J3594" s="1">
        <v>69.260000000000005</v>
      </c>
      <c r="K3594" t="s">
        <v>6</v>
      </c>
    </row>
    <row r="3595" spans="1:11">
      <c r="A3595" t="s">
        <v>3284</v>
      </c>
      <c r="B3595">
        <v>420879</v>
      </c>
      <c r="C3595" s="2" t="str">
        <f>"70855"</f>
        <v>70855</v>
      </c>
      <c r="D3595" t="s">
        <v>3695</v>
      </c>
      <c r="E3595" t="s">
        <v>4</v>
      </c>
      <c r="F3595">
        <v>8.3000000000000007</v>
      </c>
      <c r="H3595" t="s">
        <v>5</v>
      </c>
      <c r="I3595" s="1">
        <v>52.82</v>
      </c>
      <c r="J3595" s="1">
        <v>52.82</v>
      </c>
      <c r="K3595" t="s">
        <v>6</v>
      </c>
    </row>
    <row r="3596" spans="1:11">
      <c r="A3596" t="s">
        <v>3284</v>
      </c>
      <c r="B3596">
        <v>370103</v>
      </c>
      <c r="C3596" s="2" t="str">
        <f>"718"</f>
        <v>718</v>
      </c>
      <c r="D3596" t="s">
        <v>3696</v>
      </c>
      <c r="E3596" t="s">
        <v>4</v>
      </c>
      <c r="F3596">
        <v>14</v>
      </c>
      <c r="H3596" t="s">
        <v>5</v>
      </c>
      <c r="I3596" s="1">
        <v>92.64</v>
      </c>
      <c r="J3596" s="1">
        <v>92.64</v>
      </c>
      <c r="K3596" t="s">
        <v>6</v>
      </c>
    </row>
    <row r="3597" spans="1:11">
      <c r="A3597" t="s">
        <v>3284</v>
      </c>
      <c r="B3597">
        <v>371313</v>
      </c>
      <c r="C3597" s="2" t="str">
        <f>"719"</f>
        <v>719</v>
      </c>
      <c r="D3597" t="s">
        <v>3697</v>
      </c>
      <c r="E3597" t="s">
        <v>4</v>
      </c>
      <c r="F3597">
        <v>12</v>
      </c>
      <c r="H3597" t="s">
        <v>5</v>
      </c>
      <c r="I3597" s="1">
        <v>67.540000000000006</v>
      </c>
      <c r="J3597" s="1">
        <v>67.540000000000006</v>
      </c>
      <c r="K3597" t="s">
        <v>6</v>
      </c>
    </row>
    <row r="3598" spans="1:11">
      <c r="A3598" t="s">
        <v>3284</v>
      </c>
      <c r="B3598">
        <v>406634</v>
      </c>
      <c r="C3598" s="2" t="str">
        <f>"7500"</f>
        <v>7500</v>
      </c>
      <c r="D3598" t="s">
        <v>3698</v>
      </c>
      <c r="E3598" t="s">
        <v>4</v>
      </c>
      <c r="F3598">
        <v>5.8</v>
      </c>
      <c r="H3598" t="s">
        <v>5</v>
      </c>
      <c r="I3598" s="1">
        <v>43.29</v>
      </c>
      <c r="J3598" s="1">
        <v>43.29</v>
      </c>
      <c r="K3598" t="s">
        <v>6</v>
      </c>
    </row>
    <row r="3599" spans="1:11">
      <c r="A3599" t="s">
        <v>3284</v>
      </c>
      <c r="B3599">
        <v>406359</v>
      </c>
      <c r="C3599" s="2" t="str">
        <f>"7502"</f>
        <v>7502</v>
      </c>
      <c r="D3599" t="s">
        <v>3699</v>
      </c>
      <c r="E3599" t="s">
        <v>4</v>
      </c>
      <c r="F3599">
        <v>6.7</v>
      </c>
      <c r="H3599" t="s">
        <v>5</v>
      </c>
      <c r="I3599" s="1">
        <v>43.29</v>
      </c>
      <c r="J3599" s="1">
        <v>43.29</v>
      </c>
      <c r="K3599" t="s">
        <v>6</v>
      </c>
    </row>
    <row r="3600" spans="1:11">
      <c r="A3600" t="s">
        <v>3284</v>
      </c>
      <c r="B3600">
        <v>401940</v>
      </c>
      <c r="C3600" s="2" t="str">
        <f>"7503"</f>
        <v>7503</v>
      </c>
      <c r="D3600" t="s">
        <v>3700</v>
      </c>
      <c r="E3600" t="s">
        <v>4</v>
      </c>
      <c r="F3600">
        <v>6.6</v>
      </c>
      <c r="H3600" t="s">
        <v>5</v>
      </c>
      <c r="I3600" s="1">
        <v>43.29</v>
      </c>
      <c r="J3600" s="1">
        <v>43.29</v>
      </c>
      <c r="K3600" t="s">
        <v>6</v>
      </c>
    </row>
    <row r="3601" spans="1:11">
      <c r="A3601" t="s">
        <v>3284</v>
      </c>
      <c r="B3601">
        <v>406633</v>
      </c>
      <c r="C3601" s="2" t="str">
        <f>"7504"</f>
        <v>7504</v>
      </c>
      <c r="D3601" t="s">
        <v>3701</v>
      </c>
      <c r="E3601" t="s">
        <v>4</v>
      </c>
      <c r="F3601">
        <v>7.9</v>
      </c>
      <c r="H3601" t="s">
        <v>5</v>
      </c>
      <c r="I3601" s="1">
        <v>43.29</v>
      </c>
      <c r="J3601" s="1">
        <v>43.29</v>
      </c>
      <c r="K3601" t="s">
        <v>6</v>
      </c>
    </row>
    <row r="3602" spans="1:11">
      <c r="A3602" t="s">
        <v>3284</v>
      </c>
      <c r="B3602">
        <v>406362</v>
      </c>
      <c r="C3602" s="2" t="str">
        <f>"7505"</f>
        <v>7505</v>
      </c>
      <c r="D3602" t="s">
        <v>3702</v>
      </c>
      <c r="E3602" t="s">
        <v>4</v>
      </c>
      <c r="F3602">
        <v>7.6</v>
      </c>
      <c r="H3602" t="s">
        <v>5</v>
      </c>
      <c r="I3602" s="1">
        <v>43.29</v>
      </c>
      <c r="J3602" s="1">
        <v>43.29</v>
      </c>
      <c r="K3602" t="s">
        <v>6</v>
      </c>
    </row>
    <row r="3603" spans="1:11">
      <c r="A3603" t="s">
        <v>3284</v>
      </c>
      <c r="B3603">
        <v>406635</v>
      </c>
      <c r="C3603" s="2" t="str">
        <f>"7507"</f>
        <v>7507</v>
      </c>
      <c r="D3603" t="s">
        <v>3703</v>
      </c>
      <c r="E3603" t="s">
        <v>4</v>
      </c>
      <c r="F3603">
        <v>7.2</v>
      </c>
      <c r="H3603" t="s">
        <v>5</v>
      </c>
      <c r="I3603" s="1">
        <v>65.95</v>
      </c>
      <c r="J3603" s="1">
        <v>65.95</v>
      </c>
      <c r="K3603" t="s">
        <v>6</v>
      </c>
    </row>
    <row r="3604" spans="1:11">
      <c r="A3604" t="s">
        <v>3284</v>
      </c>
      <c r="B3604">
        <v>402722</v>
      </c>
      <c r="C3604" s="2" t="str">
        <f>"7508"</f>
        <v>7508</v>
      </c>
      <c r="D3604" t="s">
        <v>3704</v>
      </c>
      <c r="E3604" t="s">
        <v>4</v>
      </c>
      <c r="F3604">
        <v>5.5</v>
      </c>
      <c r="H3604" t="s">
        <v>5</v>
      </c>
      <c r="I3604" s="1">
        <v>43.29</v>
      </c>
      <c r="J3604" s="1">
        <v>43.29</v>
      </c>
      <c r="K3604" t="s">
        <v>6</v>
      </c>
    </row>
    <row r="3605" spans="1:11">
      <c r="A3605" t="s">
        <v>3284</v>
      </c>
      <c r="B3605">
        <v>402725</v>
      </c>
      <c r="C3605" s="2" t="str">
        <f>"7509"</f>
        <v>7509</v>
      </c>
      <c r="D3605" t="s">
        <v>3705</v>
      </c>
      <c r="E3605" t="s">
        <v>4</v>
      </c>
      <c r="F3605">
        <v>6.7</v>
      </c>
      <c r="H3605" t="s">
        <v>5</v>
      </c>
      <c r="I3605" s="1">
        <v>43.29</v>
      </c>
      <c r="J3605" s="1">
        <v>43.29</v>
      </c>
      <c r="K3605" t="s">
        <v>6</v>
      </c>
    </row>
    <row r="3606" spans="1:11">
      <c r="A3606" t="s">
        <v>3284</v>
      </c>
      <c r="B3606">
        <v>402726</v>
      </c>
      <c r="C3606" s="2" t="str">
        <f>"7510"</f>
        <v>7510</v>
      </c>
      <c r="D3606" t="s">
        <v>3706</v>
      </c>
      <c r="E3606" t="s">
        <v>4</v>
      </c>
      <c r="F3606">
        <v>7.1</v>
      </c>
      <c r="H3606" t="s">
        <v>5</v>
      </c>
      <c r="I3606" s="1">
        <v>43.29</v>
      </c>
      <c r="J3606" s="1">
        <v>43.29</v>
      </c>
      <c r="K3606" t="s">
        <v>6</v>
      </c>
    </row>
    <row r="3607" spans="1:11">
      <c r="A3607" t="s">
        <v>3284</v>
      </c>
      <c r="B3607">
        <v>451172</v>
      </c>
      <c r="C3607" s="2" t="str">
        <f>"7510SR"</f>
        <v>7510SR</v>
      </c>
      <c r="D3607" t="s">
        <v>3707</v>
      </c>
      <c r="E3607" t="s">
        <v>4</v>
      </c>
      <c r="F3607">
        <v>7.1</v>
      </c>
      <c r="H3607" t="s">
        <v>5</v>
      </c>
      <c r="I3607" s="1">
        <v>49.63</v>
      </c>
      <c r="J3607" s="1">
        <v>49.63</v>
      </c>
      <c r="K3607" t="s">
        <v>6</v>
      </c>
    </row>
    <row r="3608" spans="1:11">
      <c r="A3608" t="s">
        <v>3284</v>
      </c>
      <c r="B3608">
        <v>410327</v>
      </c>
      <c r="C3608" s="2" t="str">
        <f>"7511"</f>
        <v>7511</v>
      </c>
      <c r="D3608" t="s">
        <v>3708</v>
      </c>
      <c r="E3608" t="s">
        <v>4</v>
      </c>
      <c r="F3608">
        <v>7.9</v>
      </c>
      <c r="H3608" t="s">
        <v>5</v>
      </c>
      <c r="I3608" s="1">
        <v>65.95</v>
      </c>
      <c r="J3608" s="1">
        <v>65.95</v>
      </c>
      <c r="K3608" t="s">
        <v>6</v>
      </c>
    </row>
    <row r="3609" spans="1:11">
      <c r="A3609" t="s">
        <v>3284</v>
      </c>
      <c r="B3609">
        <v>411639</v>
      </c>
      <c r="C3609" s="2" t="str">
        <f>"7512"</f>
        <v>7512</v>
      </c>
      <c r="D3609" t="s">
        <v>3709</v>
      </c>
      <c r="E3609" t="s">
        <v>4</v>
      </c>
      <c r="F3609">
        <v>6</v>
      </c>
      <c r="H3609" t="s">
        <v>5</v>
      </c>
      <c r="I3609" s="1">
        <v>43.29</v>
      </c>
      <c r="J3609" s="1">
        <v>43.29</v>
      </c>
      <c r="K3609" t="s">
        <v>6</v>
      </c>
    </row>
    <row r="3610" spans="1:11">
      <c r="A3610" t="s">
        <v>3284</v>
      </c>
      <c r="B3610">
        <v>425775</v>
      </c>
      <c r="C3610" s="2" t="str">
        <f>"7513"</f>
        <v>7513</v>
      </c>
      <c r="D3610" t="s">
        <v>3710</v>
      </c>
      <c r="E3610" t="s">
        <v>4</v>
      </c>
      <c r="F3610">
        <v>6.4</v>
      </c>
      <c r="H3610" t="s">
        <v>5</v>
      </c>
      <c r="I3610" s="1">
        <v>43.29</v>
      </c>
      <c r="J3610" s="1">
        <v>43.29</v>
      </c>
      <c r="K3610" t="s">
        <v>6</v>
      </c>
    </row>
    <row r="3611" spans="1:11">
      <c r="A3611" t="s">
        <v>3284</v>
      </c>
      <c r="B3611">
        <v>463288</v>
      </c>
      <c r="C3611" s="2" t="str">
        <f>"7517"</f>
        <v>7517</v>
      </c>
      <c r="D3611" t="s">
        <v>3711</v>
      </c>
      <c r="E3611" t="s">
        <v>4</v>
      </c>
      <c r="F3611">
        <v>5.7</v>
      </c>
      <c r="H3611" t="s">
        <v>5</v>
      </c>
      <c r="I3611" s="1">
        <v>43.29</v>
      </c>
      <c r="J3611" s="1">
        <v>43.29</v>
      </c>
      <c r="K3611" t="s">
        <v>6</v>
      </c>
    </row>
    <row r="3612" spans="1:11">
      <c r="A3612" t="s">
        <v>3284</v>
      </c>
      <c r="B3612">
        <v>473658</v>
      </c>
      <c r="C3612" s="2" t="str">
        <f>"7518"</f>
        <v>7518</v>
      </c>
      <c r="D3612" t="s">
        <v>3712</v>
      </c>
      <c r="E3612" t="s">
        <v>4</v>
      </c>
      <c r="F3612">
        <v>6.8</v>
      </c>
      <c r="H3612" t="s">
        <v>5</v>
      </c>
      <c r="I3612" s="1">
        <v>43.29</v>
      </c>
      <c r="J3612" s="1">
        <v>43.29</v>
      </c>
      <c r="K3612" t="s">
        <v>6</v>
      </c>
    </row>
    <row r="3613" spans="1:11">
      <c r="A3613" t="s">
        <v>3284</v>
      </c>
      <c r="B3613">
        <v>370137</v>
      </c>
      <c r="C3613" s="2" t="str">
        <f>"75305"</f>
        <v>75305</v>
      </c>
      <c r="D3613" t="s">
        <v>3713</v>
      </c>
      <c r="E3613" t="s">
        <v>4</v>
      </c>
      <c r="F3613">
        <v>6</v>
      </c>
      <c r="H3613" t="s">
        <v>5</v>
      </c>
      <c r="I3613" s="1">
        <v>42.13</v>
      </c>
      <c r="J3613" s="1">
        <v>42.13</v>
      </c>
      <c r="K3613" t="s">
        <v>6</v>
      </c>
    </row>
    <row r="3614" spans="1:11">
      <c r="A3614" t="s">
        <v>3284</v>
      </c>
      <c r="B3614">
        <v>439103</v>
      </c>
      <c r="C3614" s="2" t="str">
        <f>"7552"</f>
        <v>7552</v>
      </c>
      <c r="D3614" t="s">
        <v>3714</v>
      </c>
      <c r="E3614" t="s">
        <v>4</v>
      </c>
      <c r="F3614">
        <v>6.5</v>
      </c>
      <c r="H3614" t="s">
        <v>5</v>
      </c>
      <c r="I3614" s="1">
        <v>43.29</v>
      </c>
      <c r="J3614" s="1">
        <v>43.29</v>
      </c>
      <c r="K3614" t="s">
        <v>6</v>
      </c>
    </row>
    <row r="3615" spans="1:11">
      <c r="A3615" t="s">
        <v>3284</v>
      </c>
      <c r="B3615">
        <v>411641</v>
      </c>
      <c r="C3615" s="2" t="str">
        <f>"7555SR"</f>
        <v>7555SR</v>
      </c>
      <c r="D3615" t="s">
        <v>3715</v>
      </c>
      <c r="E3615" t="s">
        <v>4</v>
      </c>
      <c r="F3615">
        <v>8.3000000000000007</v>
      </c>
      <c r="H3615" t="s">
        <v>5</v>
      </c>
      <c r="I3615" s="1">
        <v>49.63</v>
      </c>
      <c r="J3615" s="1">
        <v>49.63</v>
      </c>
      <c r="K3615" t="s">
        <v>6</v>
      </c>
    </row>
    <row r="3616" spans="1:11">
      <c r="A3616" t="s">
        <v>3284</v>
      </c>
      <c r="B3616">
        <v>369352</v>
      </c>
      <c r="C3616" s="2" t="str">
        <f>"763"</f>
        <v>763</v>
      </c>
      <c r="D3616" t="s">
        <v>3716</v>
      </c>
      <c r="E3616" t="s">
        <v>4</v>
      </c>
      <c r="F3616">
        <v>6.8</v>
      </c>
      <c r="H3616" t="s">
        <v>5</v>
      </c>
      <c r="I3616" s="1">
        <v>37.659999999999997</v>
      </c>
      <c r="J3616" s="1">
        <v>37.659999999999997</v>
      </c>
      <c r="K3616" t="s">
        <v>6</v>
      </c>
    </row>
    <row r="3617" spans="1:11">
      <c r="A3617" t="s">
        <v>3284</v>
      </c>
      <c r="B3617">
        <v>410673</v>
      </c>
      <c r="C3617" s="2" t="str">
        <f>"7700"</f>
        <v>7700</v>
      </c>
      <c r="D3617" t="s">
        <v>3717</v>
      </c>
      <c r="E3617" t="s">
        <v>4</v>
      </c>
      <c r="F3617">
        <v>7.6</v>
      </c>
      <c r="H3617" t="s">
        <v>5</v>
      </c>
      <c r="I3617" s="1">
        <v>65.22</v>
      </c>
      <c r="J3617" s="1">
        <v>65.22</v>
      </c>
      <c r="K3617" t="s">
        <v>6</v>
      </c>
    </row>
    <row r="3618" spans="1:11">
      <c r="A3618" t="s">
        <v>3284</v>
      </c>
      <c r="B3618">
        <v>413395</v>
      </c>
      <c r="C3618" s="2" t="str">
        <f>"7700BS"</f>
        <v>7700BS</v>
      </c>
      <c r="D3618" t="s">
        <v>3718</v>
      </c>
      <c r="E3618" t="s">
        <v>4</v>
      </c>
      <c r="F3618">
        <v>7.6</v>
      </c>
      <c r="H3618" t="s">
        <v>5</v>
      </c>
      <c r="I3618" s="1">
        <v>70.849999999999994</v>
      </c>
      <c r="J3618" s="1">
        <v>70.849999999999994</v>
      </c>
      <c r="K3618" t="s">
        <v>6</v>
      </c>
    </row>
    <row r="3619" spans="1:11">
      <c r="A3619" t="s">
        <v>3284</v>
      </c>
      <c r="B3619">
        <v>370193</v>
      </c>
      <c r="C3619" s="2" t="str">
        <f>"789"</f>
        <v>789</v>
      </c>
      <c r="D3619" t="s">
        <v>3719</v>
      </c>
      <c r="E3619" t="s">
        <v>4</v>
      </c>
      <c r="F3619">
        <v>11</v>
      </c>
      <c r="H3619" t="s">
        <v>5</v>
      </c>
      <c r="I3619" s="1">
        <v>39.53</v>
      </c>
      <c r="J3619" s="1">
        <v>39.53</v>
      </c>
      <c r="K3619" t="s">
        <v>6</v>
      </c>
    </row>
    <row r="3620" spans="1:11">
      <c r="A3620" t="s">
        <v>3284</v>
      </c>
      <c r="B3620">
        <v>370324</v>
      </c>
      <c r="C3620" s="2" t="str">
        <f>"795"</f>
        <v>795</v>
      </c>
      <c r="D3620" t="s">
        <v>3720</v>
      </c>
      <c r="E3620" t="s">
        <v>4</v>
      </c>
      <c r="F3620">
        <v>16.3</v>
      </c>
      <c r="H3620" t="s">
        <v>5</v>
      </c>
      <c r="I3620" s="1">
        <v>86.29</v>
      </c>
      <c r="J3620" s="1">
        <v>86.29</v>
      </c>
      <c r="K3620" t="s">
        <v>6</v>
      </c>
    </row>
    <row r="3621" spans="1:11">
      <c r="A3621" t="s">
        <v>3284</v>
      </c>
      <c r="B3621">
        <v>370293</v>
      </c>
      <c r="C3621" s="2" t="str">
        <f>"80371"</f>
        <v>80371</v>
      </c>
      <c r="D3621" t="s">
        <v>3721</v>
      </c>
      <c r="E3621" t="s">
        <v>4</v>
      </c>
      <c r="F3621">
        <v>12</v>
      </c>
      <c r="H3621" t="s">
        <v>5</v>
      </c>
      <c r="I3621" s="1">
        <v>169.2</v>
      </c>
      <c r="J3621" s="1">
        <v>169.2</v>
      </c>
      <c r="K3621" t="s">
        <v>6</v>
      </c>
    </row>
    <row r="3622" spans="1:11">
      <c r="A3622" t="s">
        <v>3284</v>
      </c>
      <c r="B3622">
        <v>370252</v>
      </c>
      <c r="C3622" s="2" t="str">
        <f>"8054"</f>
        <v>8054</v>
      </c>
      <c r="D3622" t="s">
        <v>3722</v>
      </c>
      <c r="E3622" t="s">
        <v>4</v>
      </c>
      <c r="F3622">
        <v>14.8</v>
      </c>
      <c r="H3622" t="s">
        <v>5</v>
      </c>
      <c r="I3622" s="1">
        <v>120.34</v>
      </c>
      <c r="J3622" s="1">
        <v>120.34</v>
      </c>
      <c r="K3622" t="s">
        <v>6</v>
      </c>
    </row>
    <row r="3623" spans="1:11">
      <c r="A3623" t="s">
        <v>3284</v>
      </c>
      <c r="B3623">
        <v>369328</v>
      </c>
      <c r="C3623" s="2" t="str">
        <f>"8089"</f>
        <v>8089</v>
      </c>
      <c r="D3623" t="s">
        <v>3723</v>
      </c>
      <c r="E3623" t="s">
        <v>4</v>
      </c>
      <c r="F3623">
        <v>11</v>
      </c>
      <c r="H3623" t="s">
        <v>5</v>
      </c>
      <c r="I3623" s="1">
        <v>119.91</v>
      </c>
      <c r="J3623" s="1">
        <v>119.91</v>
      </c>
      <c r="K3623" t="s">
        <v>6</v>
      </c>
    </row>
    <row r="3624" spans="1:11">
      <c r="A3624" t="s">
        <v>3284</v>
      </c>
      <c r="B3624">
        <v>370389</v>
      </c>
      <c r="C3624" s="2" t="str">
        <f>"814CD"</f>
        <v>814CD</v>
      </c>
      <c r="D3624" t="s">
        <v>3724</v>
      </c>
      <c r="E3624" t="s">
        <v>4</v>
      </c>
      <c r="F3624">
        <v>23.8</v>
      </c>
      <c r="H3624" t="s">
        <v>5</v>
      </c>
      <c r="I3624" s="1">
        <v>56.71</v>
      </c>
      <c r="J3624" s="1">
        <v>56.71</v>
      </c>
      <c r="K3624" t="s">
        <v>6</v>
      </c>
    </row>
    <row r="3625" spans="1:11">
      <c r="A3625" t="s">
        <v>3284</v>
      </c>
      <c r="B3625">
        <v>370366</v>
      </c>
      <c r="C3625" s="2" t="str">
        <f>"817CD"</f>
        <v>817CD</v>
      </c>
      <c r="D3625" t="s">
        <v>3725</v>
      </c>
      <c r="E3625" t="s">
        <v>4</v>
      </c>
      <c r="F3625">
        <v>25.2</v>
      </c>
      <c r="H3625" t="s">
        <v>5</v>
      </c>
      <c r="I3625" s="1">
        <v>74.459999999999994</v>
      </c>
      <c r="J3625" s="1">
        <v>74.459999999999994</v>
      </c>
      <c r="K3625" t="s">
        <v>6</v>
      </c>
    </row>
    <row r="3626" spans="1:11">
      <c r="A3626" t="s">
        <v>3284</v>
      </c>
      <c r="B3626">
        <v>370374</v>
      </c>
      <c r="C3626" s="2" t="str">
        <f>"8402"</f>
        <v>8402</v>
      </c>
      <c r="D3626" t="s">
        <v>3726</v>
      </c>
      <c r="E3626" t="s">
        <v>4</v>
      </c>
      <c r="F3626">
        <v>3.6</v>
      </c>
      <c r="H3626" t="s">
        <v>5</v>
      </c>
      <c r="I3626" s="1">
        <v>26.99</v>
      </c>
      <c r="J3626" s="1">
        <v>26.99</v>
      </c>
      <c r="K3626" t="s">
        <v>6</v>
      </c>
    </row>
    <row r="3627" spans="1:11">
      <c r="A3627" t="s">
        <v>3284</v>
      </c>
      <c r="B3627">
        <v>370365</v>
      </c>
      <c r="C3627" s="2" t="str">
        <f>"8405"</f>
        <v>8405</v>
      </c>
      <c r="D3627" t="s">
        <v>3727</v>
      </c>
      <c r="E3627" t="s">
        <v>4</v>
      </c>
      <c r="F3627">
        <v>15.2</v>
      </c>
      <c r="H3627" t="s">
        <v>5</v>
      </c>
      <c r="I3627" s="1">
        <v>107.35</v>
      </c>
      <c r="J3627" s="1">
        <v>107.35</v>
      </c>
      <c r="K3627" t="s">
        <v>6</v>
      </c>
    </row>
    <row r="3628" spans="1:11">
      <c r="A3628" t="s">
        <v>3284</v>
      </c>
      <c r="B3628">
        <v>369252</v>
      </c>
      <c r="C3628" s="2" t="str">
        <f>"8411"</f>
        <v>8411</v>
      </c>
      <c r="D3628" t="s">
        <v>3728</v>
      </c>
      <c r="E3628" t="s">
        <v>4</v>
      </c>
      <c r="F3628">
        <v>17</v>
      </c>
      <c r="H3628" t="s">
        <v>5</v>
      </c>
      <c r="I3628" s="1">
        <v>119.48</v>
      </c>
      <c r="J3628" s="1">
        <v>119.48</v>
      </c>
      <c r="K3628" t="s">
        <v>6</v>
      </c>
    </row>
    <row r="3629" spans="1:11">
      <c r="A3629" t="s">
        <v>3284</v>
      </c>
      <c r="B3629">
        <v>368634</v>
      </c>
      <c r="C3629" s="2" t="str">
        <f>"8412"</f>
        <v>8412</v>
      </c>
      <c r="D3629" t="s">
        <v>3729</v>
      </c>
      <c r="E3629" t="s">
        <v>4</v>
      </c>
      <c r="F3629">
        <v>7</v>
      </c>
      <c r="H3629" t="s">
        <v>5</v>
      </c>
      <c r="I3629" s="1">
        <v>61.18</v>
      </c>
      <c r="J3629" s="1">
        <v>61.18</v>
      </c>
      <c r="K3629" t="s">
        <v>6</v>
      </c>
    </row>
    <row r="3630" spans="1:11">
      <c r="A3630" t="s">
        <v>3284</v>
      </c>
      <c r="B3630">
        <v>369173</v>
      </c>
      <c r="C3630" s="2" t="str">
        <f>"8414"</f>
        <v>8414</v>
      </c>
      <c r="D3630" t="s">
        <v>3730</v>
      </c>
      <c r="E3630" t="s">
        <v>4</v>
      </c>
      <c r="F3630">
        <v>16.8</v>
      </c>
      <c r="H3630" t="s">
        <v>5</v>
      </c>
      <c r="I3630" s="1">
        <v>119.48</v>
      </c>
      <c r="J3630" s="1">
        <v>119.48</v>
      </c>
      <c r="K3630" t="s">
        <v>6</v>
      </c>
    </row>
    <row r="3631" spans="1:11">
      <c r="A3631" t="s">
        <v>3284</v>
      </c>
      <c r="B3631">
        <v>369205</v>
      </c>
      <c r="C3631" s="2" t="str">
        <f>"8415"</f>
        <v>8415</v>
      </c>
      <c r="D3631" t="s">
        <v>3731</v>
      </c>
      <c r="E3631" t="s">
        <v>4</v>
      </c>
      <c r="F3631">
        <v>6</v>
      </c>
      <c r="H3631" t="s">
        <v>5</v>
      </c>
      <c r="I3631" s="1">
        <v>61.18</v>
      </c>
      <c r="J3631" s="1">
        <v>61.18</v>
      </c>
      <c r="K3631" t="s">
        <v>6</v>
      </c>
    </row>
    <row r="3632" spans="1:11">
      <c r="A3632" t="s">
        <v>3284</v>
      </c>
      <c r="B3632">
        <v>369657</v>
      </c>
      <c r="C3632" s="2" t="str">
        <f>"8416"</f>
        <v>8416</v>
      </c>
      <c r="D3632" t="s">
        <v>3732</v>
      </c>
      <c r="E3632" t="s">
        <v>4</v>
      </c>
      <c r="F3632">
        <v>8</v>
      </c>
      <c r="H3632" t="s">
        <v>5</v>
      </c>
      <c r="I3632" s="1">
        <v>65.95</v>
      </c>
      <c r="J3632" s="1">
        <v>65.95</v>
      </c>
      <c r="K3632" t="s">
        <v>6</v>
      </c>
    </row>
    <row r="3633" spans="1:11">
      <c r="A3633" t="s">
        <v>3284</v>
      </c>
      <c r="B3633">
        <v>369451</v>
      </c>
      <c r="C3633" s="2" t="str">
        <f>"8417"</f>
        <v>8417</v>
      </c>
      <c r="D3633" t="s">
        <v>3733</v>
      </c>
      <c r="E3633" t="s">
        <v>4</v>
      </c>
      <c r="F3633">
        <v>8.1999999999999993</v>
      </c>
      <c r="H3633" t="s">
        <v>5</v>
      </c>
      <c r="I3633" s="1">
        <v>65.95</v>
      </c>
      <c r="J3633" s="1">
        <v>65.95</v>
      </c>
      <c r="K3633" t="s">
        <v>6</v>
      </c>
    </row>
    <row r="3634" spans="1:11">
      <c r="A3634" t="s">
        <v>3284</v>
      </c>
      <c r="B3634">
        <v>368718</v>
      </c>
      <c r="C3634" s="2" t="str">
        <f>"8418"</f>
        <v>8418</v>
      </c>
      <c r="D3634" t="s">
        <v>3734</v>
      </c>
      <c r="E3634" t="s">
        <v>4</v>
      </c>
      <c r="F3634">
        <v>8</v>
      </c>
      <c r="H3634" t="s">
        <v>5</v>
      </c>
      <c r="I3634" s="1">
        <v>65.95</v>
      </c>
      <c r="J3634" s="1">
        <v>65.95</v>
      </c>
      <c r="K3634" t="s">
        <v>6</v>
      </c>
    </row>
    <row r="3635" spans="1:11">
      <c r="A3635" t="s">
        <v>3284</v>
      </c>
      <c r="B3635">
        <v>370204</v>
      </c>
      <c r="C3635" s="2" t="str">
        <f>"8420"</f>
        <v>8420</v>
      </c>
      <c r="D3635" t="s">
        <v>3735</v>
      </c>
      <c r="E3635" t="s">
        <v>4</v>
      </c>
      <c r="F3635">
        <v>8.5</v>
      </c>
      <c r="H3635" t="s">
        <v>5</v>
      </c>
      <c r="I3635" s="1">
        <v>65.95</v>
      </c>
      <c r="J3635" s="1">
        <v>65.95</v>
      </c>
      <c r="K3635" t="s">
        <v>6</v>
      </c>
    </row>
    <row r="3636" spans="1:11">
      <c r="A3636" t="s">
        <v>3284</v>
      </c>
      <c r="B3636">
        <v>369430</v>
      </c>
      <c r="C3636" s="2" t="str">
        <f>"8422"</f>
        <v>8422</v>
      </c>
      <c r="D3636" t="s">
        <v>3736</v>
      </c>
      <c r="E3636" t="s">
        <v>4</v>
      </c>
      <c r="F3636">
        <v>7.9</v>
      </c>
      <c r="H3636" t="s">
        <v>5</v>
      </c>
      <c r="I3636" s="1">
        <v>65.95</v>
      </c>
      <c r="J3636" s="1">
        <v>65.95</v>
      </c>
      <c r="K3636" t="s">
        <v>6</v>
      </c>
    </row>
    <row r="3637" spans="1:11">
      <c r="A3637" t="s">
        <v>3284</v>
      </c>
      <c r="B3637">
        <v>368660</v>
      </c>
      <c r="C3637" s="2" t="str">
        <f>"8423"</f>
        <v>8423</v>
      </c>
      <c r="D3637" t="s">
        <v>3737</v>
      </c>
      <c r="E3637" t="s">
        <v>4</v>
      </c>
      <c r="F3637">
        <v>7.2</v>
      </c>
      <c r="H3637" t="s">
        <v>5</v>
      </c>
      <c r="I3637" s="1">
        <v>65.95</v>
      </c>
      <c r="J3637" s="1">
        <v>65.95</v>
      </c>
      <c r="K3637" t="s">
        <v>6</v>
      </c>
    </row>
    <row r="3638" spans="1:11">
      <c r="A3638" t="s">
        <v>3284</v>
      </c>
      <c r="B3638">
        <v>369223</v>
      </c>
      <c r="C3638" s="2" t="str">
        <f>"8425"</f>
        <v>8425</v>
      </c>
      <c r="D3638" t="s">
        <v>3738</v>
      </c>
      <c r="E3638" t="s">
        <v>4</v>
      </c>
      <c r="F3638">
        <v>15.2</v>
      </c>
      <c r="H3638" t="s">
        <v>5</v>
      </c>
      <c r="I3638" s="1">
        <v>79.650000000000006</v>
      </c>
      <c r="J3638" s="1">
        <v>79.650000000000006</v>
      </c>
      <c r="K3638" t="s">
        <v>6</v>
      </c>
    </row>
    <row r="3639" spans="1:11">
      <c r="A3639" t="s">
        <v>3284</v>
      </c>
      <c r="B3639">
        <v>369655</v>
      </c>
      <c r="C3639" s="2" t="str">
        <f>"8427"</f>
        <v>8427</v>
      </c>
      <c r="D3639" t="s">
        <v>3739</v>
      </c>
      <c r="E3639" t="s">
        <v>4</v>
      </c>
      <c r="F3639">
        <v>10</v>
      </c>
      <c r="H3639" t="s">
        <v>5</v>
      </c>
      <c r="I3639" s="1">
        <v>65.95</v>
      </c>
      <c r="J3639" s="1">
        <v>65.95</v>
      </c>
      <c r="K3639" t="s">
        <v>6</v>
      </c>
    </row>
    <row r="3640" spans="1:11">
      <c r="A3640" t="s">
        <v>3284</v>
      </c>
      <c r="B3640">
        <v>371316</v>
      </c>
      <c r="C3640" s="2" t="str">
        <f>"8428"</f>
        <v>8428</v>
      </c>
      <c r="D3640" t="s">
        <v>3740</v>
      </c>
      <c r="E3640" t="s">
        <v>4</v>
      </c>
      <c r="F3640">
        <v>6.5</v>
      </c>
      <c r="H3640" t="s">
        <v>5</v>
      </c>
      <c r="I3640" s="1">
        <v>50.36</v>
      </c>
      <c r="J3640" s="1">
        <v>50.36</v>
      </c>
      <c r="K3640" t="s">
        <v>6</v>
      </c>
    </row>
    <row r="3641" spans="1:11">
      <c r="A3641" t="s">
        <v>3284</v>
      </c>
      <c r="B3641">
        <v>369201</v>
      </c>
      <c r="C3641" s="2" t="str">
        <f>"8429"</f>
        <v>8429</v>
      </c>
      <c r="D3641" t="s">
        <v>3741</v>
      </c>
      <c r="E3641" t="s">
        <v>4</v>
      </c>
      <c r="F3641">
        <v>8</v>
      </c>
      <c r="H3641" t="s">
        <v>5</v>
      </c>
      <c r="I3641" s="1">
        <v>50.36</v>
      </c>
      <c r="J3641" s="1">
        <v>50.36</v>
      </c>
      <c r="K3641" t="s">
        <v>6</v>
      </c>
    </row>
    <row r="3642" spans="1:11">
      <c r="A3642" t="s">
        <v>3284</v>
      </c>
      <c r="B3642">
        <v>369322</v>
      </c>
      <c r="C3642" s="2" t="str">
        <f>"8439"</f>
        <v>8439</v>
      </c>
      <c r="D3642" t="s">
        <v>3742</v>
      </c>
      <c r="E3642" t="s">
        <v>4</v>
      </c>
      <c r="F3642">
        <v>7.5</v>
      </c>
      <c r="H3642" t="s">
        <v>5</v>
      </c>
      <c r="I3642" s="1">
        <v>39.83</v>
      </c>
      <c r="J3642" s="1">
        <v>39.83</v>
      </c>
      <c r="K3642" t="s">
        <v>6</v>
      </c>
    </row>
    <row r="3643" spans="1:11">
      <c r="A3643" t="s">
        <v>3284</v>
      </c>
      <c r="B3643">
        <v>369264</v>
      </c>
      <c r="C3643" s="2" t="str">
        <f>"8454"</f>
        <v>8454</v>
      </c>
      <c r="D3643" t="s">
        <v>3743</v>
      </c>
      <c r="E3643" t="s">
        <v>4</v>
      </c>
      <c r="F3643">
        <v>14.8</v>
      </c>
      <c r="H3643" t="s">
        <v>5</v>
      </c>
      <c r="I3643" s="1">
        <v>119.48</v>
      </c>
      <c r="J3643" s="1">
        <v>119.48</v>
      </c>
      <c r="K3643" t="s">
        <v>6</v>
      </c>
    </row>
    <row r="3644" spans="1:11">
      <c r="A3644" t="s">
        <v>3284</v>
      </c>
      <c r="B3644">
        <v>368704</v>
      </c>
      <c r="C3644" s="2" t="str">
        <f>"8455"</f>
        <v>8455</v>
      </c>
      <c r="D3644" t="s">
        <v>3744</v>
      </c>
      <c r="E3644" t="s">
        <v>4</v>
      </c>
      <c r="F3644">
        <v>16</v>
      </c>
      <c r="H3644" t="s">
        <v>5</v>
      </c>
      <c r="I3644" s="1">
        <v>119.48</v>
      </c>
      <c r="J3644" s="1">
        <v>119.48</v>
      </c>
      <c r="K3644" t="s">
        <v>6</v>
      </c>
    </row>
    <row r="3645" spans="1:11">
      <c r="A3645" t="s">
        <v>3284</v>
      </c>
      <c r="B3645">
        <v>453258</v>
      </c>
      <c r="C3645" s="2" t="str">
        <f>"8456"</f>
        <v>8456</v>
      </c>
      <c r="D3645" t="s">
        <v>3745</v>
      </c>
      <c r="E3645" t="s">
        <v>4</v>
      </c>
      <c r="F3645">
        <v>10.7</v>
      </c>
      <c r="H3645" t="s">
        <v>5</v>
      </c>
      <c r="I3645" s="1">
        <v>79.650000000000006</v>
      </c>
      <c r="J3645" s="1">
        <v>79.650000000000006</v>
      </c>
      <c r="K3645" t="s">
        <v>6</v>
      </c>
    </row>
    <row r="3646" spans="1:11">
      <c r="A3646" t="s">
        <v>3284</v>
      </c>
      <c r="B3646">
        <v>452221</v>
      </c>
      <c r="C3646" s="2" t="str">
        <f>"8464"</f>
        <v>8464</v>
      </c>
      <c r="D3646" t="s">
        <v>3746</v>
      </c>
      <c r="E3646" t="s">
        <v>4</v>
      </c>
      <c r="F3646">
        <v>9.4</v>
      </c>
      <c r="H3646" t="s">
        <v>5</v>
      </c>
      <c r="I3646" s="1">
        <v>79.650000000000006</v>
      </c>
      <c r="J3646" s="1">
        <v>79.650000000000006</v>
      </c>
      <c r="K3646" t="s">
        <v>6</v>
      </c>
    </row>
    <row r="3647" spans="1:11">
      <c r="A3647" t="s">
        <v>3284</v>
      </c>
      <c r="B3647">
        <v>369370</v>
      </c>
      <c r="C3647" s="2" t="str">
        <f>"8466"</f>
        <v>8466</v>
      </c>
      <c r="D3647" t="s">
        <v>3747</v>
      </c>
      <c r="E3647" t="s">
        <v>4</v>
      </c>
      <c r="F3647">
        <v>11.4</v>
      </c>
      <c r="H3647" t="s">
        <v>5</v>
      </c>
      <c r="I3647" s="1">
        <v>119.48</v>
      </c>
      <c r="J3647" s="1">
        <v>119.48</v>
      </c>
      <c r="K3647" t="s">
        <v>6</v>
      </c>
    </row>
    <row r="3648" spans="1:11">
      <c r="A3648" t="s">
        <v>3284</v>
      </c>
      <c r="B3648">
        <v>453592</v>
      </c>
      <c r="C3648" s="2" t="str">
        <f>"8472"</f>
        <v>8472</v>
      </c>
      <c r="D3648" t="s">
        <v>3748</v>
      </c>
      <c r="E3648" t="s">
        <v>4</v>
      </c>
      <c r="F3648">
        <v>10.1</v>
      </c>
      <c r="H3648" t="s">
        <v>5</v>
      </c>
      <c r="I3648" s="1">
        <v>79.650000000000006</v>
      </c>
      <c r="J3648" s="1">
        <v>79.650000000000006</v>
      </c>
      <c r="K3648" t="s">
        <v>6</v>
      </c>
    </row>
    <row r="3649" spans="1:11">
      <c r="A3649" t="s">
        <v>3284</v>
      </c>
      <c r="B3649">
        <v>368724</v>
      </c>
      <c r="C3649" s="2" t="str">
        <f>"8476"</f>
        <v>8476</v>
      </c>
      <c r="D3649" t="s">
        <v>3749</v>
      </c>
      <c r="E3649" t="s">
        <v>4</v>
      </c>
      <c r="F3649">
        <v>6</v>
      </c>
      <c r="H3649" t="s">
        <v>5</v>
      </c>
      <c r="I3649" s="1">
        <v>61.18</v>
      </c>
      <c r="J3649" s="1">
        <v>61.18</v>
      </c>
      <c r="K3649" t="s">
        <v>6</v>
      </c>
    </row>
    <row r="3650" spans="1:11">
      <c r="A3650" t="s">
        <v>3284</v>
      </c>
      <c r="B3650">
        <v>369326</v>
      </c>
      <c r="C3650" s="2" t="str">
        <f>"8477"</f>
        <v>8477</v>
      </c>
      <c r="D3650" t="s">
        <v>3750</v>
      </c>
      <c r="E3650" t="s">
        <v>4</v>
      </c>
      <c r="F3650">
        <v>5</v>
      </c>
      <c r="H3650" t="s">
        <v>5</v>
      </c>
      <c r="I3650" s="1">
        <v>61.18</v>
      </c>
      <c r="J3650" s="1">
        <v>61.18</v>
      </c>
      <c r="K3650" t="s">
        <v>6</v>
      </c>
    </row>
    <row r="3651" spans="1:11">
      <c r="A3651" t="s">
        <v>3284</v>
      </c>
      <c r="B3651">
        <v>368711</v>
      </c>
      <c r="C3651" s="2" t="str">
        <f>"8480"</f>
        <v>8480</v>
      </c>
      <c r="D3651" t="s">
        <v>3751</v>
      </c>
      <c r="E3651" t="s">
        <v>4</v>
      </c>
      <c r="F3651">
        <v>7.7</v>
      </c>
      <c r="H3651" t="s">
        <v>5</v>
      </c>
      <c r="I3651" s="1">
        <v>65.95</v>
      </c>
      <c r="J3651" s="1">
        <v>65.95</v>
      </c>
      <c r="K3651" t="s">
        <v>6</v>
      </c>
    </row>
    <row r="3652" spans="1:11">
      <c r="A3652" t="s">
        <v>3284</v>
      </c>
      <c r="B3652">
        <v>432444</v>
      </c>
      <c r="C3652" s="2" t="str">
        <f>"8485"</f>
        <v>8485</v>
      </c>
      <c r="D3652" t="s">
        <v>3752</v>
      </c>
      <c r="E3652" t="s">
        <v>4</v>
      </c>
      <c r="F3652">
        <v>7.4</v>
      </c>
      <c r="H3652" t="s">
        <v>5</v>
      </c>
      <c r="I3652" s="1">
        <v>65.95</v>
      </c>
      <c r="J3652" s="1">
        <v>65.95</v>
      </c>
      <c r="K3652" t="s">
        <v>6</v>
      </c>
    </row>
    <row r="3653" spans="1:11">
      <c r="A3653" t="s">
        <v>3284</v>
      </c>
      <c r="B3653">
        <v>377479</v>
      </c>
      <c r="C3653" s="2" t="str">
        <f>"8495"</f>
        <v>8495</v>
      </c>
      <c r="D3653" t="s">
        <v>3753</v>
      </c>
      <c r="E3653" t="s">
        <v>4</v>
      </c>
      <c r="F3653">
        <v>5</v>
      </c>
      <c r="H3653" t="s">
        <v>5</v>
      </c>
      <c r="I3653" s="1">
        <v>39.83</v>
      </c>
      <c r="J3653" s="1">
        <v>39.83</v>
      </c>
      <c r="K3653" t="s">
        <v>6</v>
      </c>
    </row>
    <row r="3654" spans="1:11">
      <c r="A3654" t="s">
        <v>3284</v>
      </c>
      <c r="B3654">
        <v>415853</v>
      </c>
      <c r="C3654" s="2" t="str">
        <f>"8513SR"</f>
        <v>8513SR</v>
      </c>
      <c r="D3654" t="s">
        <v>3754</v>
      </c>
      <c r="E3654" t="s">
        <v>4</v>
      </c>
      <c r="F3654">
        <v>15.2</v>
      </c>
      <c r="H3654" t="s">
        <v>5</v>
      </c>
      <c r="I3654" s="1">
        <v>87.74</v>
      </c>
      <c r="J3654" s="1">
        <v>87.74</v>
      </c>
      <c r="K3654" t="s">
        <v>6</v>
      </c>
    </row>
    <row r="3655" spans="1:11">
      <c r="A3655" t="s">
        <v>3284</v>
      </c>
      <c r="B3655">
        <v>370287</v>
      </c>
      <c r="C3655" s="2" t="str">
        <f>"8515SR"</f>
        <v>8515SR</v>
      </c>
      <c r="D3655" t="s">
        <v>3755</v>
      </c>
      <c r="E3655" t="s">
        <v>4</v>
      </c>
      <c r="F3655">
        <v>12.8</v>
      </c>
      <c r="H3655" t="s">
        <v>5</v>
      </c>
      <c r="I3655" s="1">
        <v>87.74</v>
      </c>
      <c r="J3655" s="1">
        <v>87.74</v>
      </c>
      <c r="K3655" t="s">
        <v>6</v>
      </c>
    </row>
    <row r="3656" spans="1:11">
      <c r="A3656" t="s">
        <v>3284</v>
      </c>
      <c r="B3656">
        <v>370197</v>
      </c>
      <c r="C3656" s="2" t="str">
        <f>"8555SR"</f>
        <v>8555SR</v>
      </c>
      <c r="D3656" t="s">
        <v>3756</v>
      </c>
      <c r="E3656" t="s">
        <v>4</v>
      </c>
      <c r="F3656">
        <v>14</v>
      </c>
      <c r="H3656" t="s">
        <v>5</v>
      </c>
      <c r="I3656" s="1">
        <v>87.74</v>
      </c>
      <c r="J3656" s="1">
        <v>87.74</v>
      </c>
      <c r="K3656" t="s">
        <v>6</v>
      </c>
    </row>
    <row r="3657" spans="1:11">
      <c r="A3657" t="s">
        <v>3284</v>
      </c>
      <c r="B3657">
        <v>370345</v>
      </c>
      <c r="C3657" s="2" t="str">
        <f>"8556SR"</f>
        <v>8556SR</v>
      </c>
      <c r="D3657" t="s">
        <v>3757</v>
      </c>
      <c r="E3657" t="s">
        <v>4</v>
      </c>
      <c r="F3657">
        <v>12</v>
      </c>
      <c r="H3657" t="s">
        <v>5</v>
      </c>
      <c r="I3657" s="1">
        <v>87.74</v>
      </c>
      <c r="J3657" s="1">
        <v>87.74</v>
      </c>
      <c r="K3657" t="s">
        <v>6</v>
      </c>
    </row>
    <row r="3658" spans="1:11">
      <c r="A3658" t="s">
        <v>3284</v>
      </c>
      <c r="B3658">
        <v>370565</v>
      </c>
      <c r="C3658" s="2" t="str">
        <f>"8564SR"</f>
        <v>8564SR</v>
      </c>
      <c r="D3658" t="s">
        <v>3758</v>
      </c>
      <c r="E3658" t="s">
        <v>4</v>
      </c>
      <c r="F3658">
        <v>11.5</v>
      </c>
      <c r="H3658" t="s">
        <v>5</v>
      </c>
      <c r="I3658" s="1">
        <v>87.74</v>
      </c>
      <c r="J3658" s="1">
        <v>87.74</v>
      </c>
      <c r="K3658" t="s">
        <v>6</v>
      </c>
    </row>
    <row r="3659" spans="1:11">
      <c r="A3659" t="s">
        <v>3284</v>
      </c>
      <c r="B3659">
        <v>370529</v>
      </c>
      <c r="C3659" s="2" t="str">
        <f>"8565SR"</f>
        <v>8565SR</v>
      </c>
      <c r="D3659" t="s">
        <v>3759</v>
      </c>
      <c r="E3659" t="s">
        <v>4</v>
      </c>
      <c r="F3659">
        <v>12</v>
      </c>
      <c r="H3659" t="s">
        <v>5</v>
      </c>
      <c r="I3659" s="1">
        <v>87.74</v>
      </c>
      <c r="J3659" s="1">
        <v>87.74</v>
      </c>
      <c r="K3659" t="s">
        <v>6</v>
      </c>
    </row>
    <row r="3660" spans="1:11">
      <c r="A3660" t="s">
        <v>3284</v>
      </c>
      <c r="B3660">
        <v>370357</v>
      </c>
      <c r="C3660" s="2" t="str">
        <f>"8572SR"</f>
        <v>8572SR</v>
      </c>
      <c r="D3660" t="s">
        <v>3760</v>
      </c>
      <c r="E3660" t="s">
        <v>4</v>
      </c>
      <c r="F3660">
        <v>15</v>
      </c>
      <c r="H3660" t="s">
        <v>5</v>
      </c>
      <c r="I3660" s="1">
        <v>87.74</v>
      </c>
      <c r="J3660" s="1">
        <v>87.74</v>
      </c>
      <c r="K3660" t="s">
        <v>6</v>
      </c>
    </row>
    <row r="3661" spans="1:11">
      <c r="A3661" t="s">
        <v>3284</v>
      </c>
      <c r="B3661">
        <v>370562</v>
      </c>
      <c r="C3661" s="2" t="str">
        <f>"8573SR"</f>
        <v>8573SR</v>
      </c>
      <c r="D3661" t="s">
        <v>3761</v>
      </c>
      <c r="E3661" t="s">
        <v>4</v>
      </c>
      <c r="F3661">
        <v>15</v>
      </c>
      <c r="H3661" t="s">
        <v>5</v>
      </c>
      <c r="I3661" s="1">
        <v>87.74</v>
      </c>
      <c r="J3661" s="1">
        <v>87.74</v>
      </c>
      <c r="K3661" t="s">
        <v>6</v>
      </c>
    </row>
    <row r="3662" spans="1:11">
      <c r="A3662" t="s">
        <v>3284</v>
      </c>
      <c r="B3662">
        <v>370274</v>
      </c>
      <c r="C3662" s="2" t="str">
        <f>"8588SR"</f>
        <v>8588SR</v>
      </c>
      <c r="D3662" t="s">
        <v>3762</v>
      </c>
      <c r="E3662" t="s">
        <v>4</v>
      </c>
      <c r="F3662">
        <v>9</v>
      </c>
      <c r="H3662" t="s">
        <v>5</v>
      </c>
      <c r="I3662" s="1">
        <v>87.74</v>
      </c>
      <c r="J3662" s="1">
        <v>87.74</v>
      </c>
      <c r="K3662" t="s">
        <v>6</v>
      </c>
    </row>
    <row r="3663" spans="1:11">
      <c r="A3663" t="s">
        <v>3284</v>
      </c>
      <c r="B3663">
        <v>370619</v>
      </c>
      <c r="C3663" s="2" t="str">
        <f>"8595SR"</f>
        <v>8595SR</v>
      </c>
      <c r="D3663" t="s">
        <v>3763</v>
      </c>
      <c r="E3663" t="s">
        <v>4</v>
      </c>
      <c r="F3663">
        <v>9</v>
      </c>
      <c r="H3663" t="s">
        <v>5</v>
      </c>
      <c r="I3663" s="1">
        <v>87.74</v>
      </c>
      <c r="J3663" s="1">
        <v>87.74</v>
      </c>
      <c r="K3663" t="s">
        <v>6</v>
      </c>
    </row>
    <row r="3664" spans="1:11">
      <c r="A3664" t="s">
        <v>3284</v>
      </c>
      <c r="B3664">
        <v>370247</v>
      </c>
      <c r="C3664" s="2" t="str">
        <f>"8756"</f>
        <v>8756</v>
      </c>
      <c r="D3664" t="s">
        <v>3764</v>
      </c>
      <c r="E3664" t="s">
        <v>4</v>
      </c>
      <c r="F3664">
        <v>15.6</v>
      </c>
      <c r="H3664" t="s">
        <v>5</v>
      </c>
      <c r="I3664" s="1">
        <v>119.48</v>
      </c>
      <c r="J3664" s="1">
        <v>119.48</v>
      </c>
      <c r="K3664" t="s">
        <v>6</v>
      </c>
    </row>
    <row r="3665" spans="1:11">
      <c r="A3665" t="s">
        <v>3284</v>
      </c>
      <c r="B3665">
        <v>370237</v>
      </c>
      <c r="C3665" s="2" t="str">
        <f>"8764"</f>
        <v>8764</v>
      </c>
      <c r="D3665" t="s">
        <v>3765</v>
      </c>
      <c r="E3665" t="s">
        <v>4</v>
      </c>
      <c r="F3665">
        <v>13.3</v>
      </c>
      <c r="H3665" t="s">
        <v>5</v>
      </c>
      <c r="I3665" s="1">
        <v>119.48</v>
      </c>
      <c r="J3665" s="1">
        <v>119.48</v>
      </c>
      <c r="K3665" t="s">
        <v>6</v>
      </c>
    </row>
    <row r="3666" spans="1:11">
      <c r="A3666" t="s">
        <v>3284</v>
      </c>
      <c r="B3666">
        <v>369556</v>
      </c>
      <c r="C3666" s="2" t="str">
        <f>"8795"</f>
        <v>8795</v>
      </c>
      <c r="D3666" t="s">
        <v>3766</v>
      </c>
      <c r="E3666" t="s">
        <v>4</v>
      </c>
      <c r="F3666">
        <v>4.8</v>
      </c>
      <c r="H3666" t="s">
        <v>5</v>
      </c>
      <c r="I3666" s="1">
        <v>39.83</v>
      </c>
      <c r="J3666" s="1">
        <v>39.83</v>
      </c>
      <c r="K3666" t="s">
        <v>6</v>
      </c>
    </row>
    <row r="3667" spans="1:11">
      <c r="A3667" t="s">
        <v>3284</v>
      </c>
      <c r="B3667">
        <v>369421</v>
      </c>
      <c r="C3667" s="2" t="str">
        <f>"8876"</f>
        <v>8876</v>
      </c>
      <c r="D3667" t="s">
        <v>3767</v>
      </c>
      <c r="E3667" t="s">
        <v>4</v>
      </c>
      <c r="F3667">
        <v>18</v>
      </c>
      <c r="H3667" t="s">
        <v>5</v>
      </c>
      <c r="I3667" s="1">
        <v>136.80000000000001</v>
      </c>
      <c r="J3667" s="1">
        <v>136.80000000000001</v>
      </c>
      <c r="K3667" t="s">
        <v>6</v>
      </c>
    </row>
    <row r="3668" spans="1:11">
      <c r="A3668" t="s">
        <v>3284</v>
      </c>
      <c r="B3668">
        <v>413030</v>
      </c>
      <c r="C3668" s="2" t="str">
        <f>"8883"</f>
        <v>8883</v>
      </c>
      <c r="D3668" t="s">
        <v>3768</v>
      </c>
      <c r="E3668" t="s">
        <v>4</v>
      </c>
      <c r="F3668">
        <v>7.8</v>
      </c>
      <c r="H3668" t="s">
        <v>5</v>
      </c>
      <c r="I3668" s="1">
        <v>65.22</v>
      </c>
      <c r="J3668" s="1">
        <v>65.22</v>
      </c>
      <c r="K3668" t="s">
        <v>6</v>
      </c>
    </row>
    <row r="3669" spans="1:11">
      <c r="A3669" t="s">
        <v>3284</v>
      </c>
      <c r="B3669">
        <v>371309</v>
      </c>
      <c r="C3669" s="2" t="str">
        <f>"8978"</f>
        <v>8978</v>
      </c>
      <c r="D3669" t="s">
        <v>3769</v>
      </c>
      <c r="E3669" t="s">
        <v>4</v>
      </c>
      <c r="F3669">
        <v>6.7</v>
      </c>
      <c r="H3669" t="s">
        <v>5</v>
      </c>
      <c r="I3669" s="1">
        <v>39.83</v>
      </c>
      <c r="J3669" s="1">
        <v>39.83</v>
      </c>
      <c r="K3669" t="s">
        <v>6</v>
      </c>
    </row>
    <row r="3670" spans="1:11">
      <c r="A3670" t="s">
        <v>3284</v>
      </c>
      <c r="B3670">
        <v>369468</v>
      </c>
      <c r="C3670" s="2" t="str">
        <f>"8995"</f>
        <v>8995</v>
      </c>
      <c r="D3670" t="s">
        <v>3770</v>
      </c>
      <c r="E3670" t="s">
        <v>4</v>
      </c>
      <c r="F3670">
        <v>5.5</v>
      </c>
      <c r="H3670" t="s">
        <v>5</v>
      </c>
      <c r="I3670" s="1">
        <v>39.83</v>
      </c>
      <c r="J3670" s="1">
        <v>39.83</v>
      </c>
      <c r="K3670" t="s">
        <v>6</v>
      </c>
    </row>
    <row r="3671" spans="1:11">
      <c r="A3671" t="s">
        <v>3284</v>
      </c>
      <c r="B3671">
        <v>430121</v>
      </c>
      <c r="C3671" s="2" t="str">
        <f>"9104RL"</f>
        <v>9104RL</v>
      </c>
      <c r="D3671" t="s">
        <v>3771</v>
      </c>
      <c r="E3671" t="s">
        <v>4</v>
      </c>
      <c r="F3671">
        <v>4.78</v>
      </c>
      <c r="H3671" t="s">
        <v>5</v>
      </c>
      <c r="I3671" s="1">
        <v>45.6</v>
      </c>
      <c r="J3671" s="1">
        <v>45.6</v>
      </c>
      <c r="K3671" t="s">
        <v>6</v>
      </c>
    </row>
    <row r="3672" spans="1:11">
      <c r="A3672" t="s">
        <v>3284</v>
      </c>
      <c r="B3672">
        <v>430119</v>
      </c>
      <c r="C3672" s="2" t="str">
        <f>"9105RL"</f>
        <v>9105RL</v>
      </c>
      <c r="D3672" t="s">
        <v>3772</v>
      </c>
      <c r="E3672" t="s">
        <v>4</v>
      </c>
      <c r="F3672">
        <v>5.45</v>
      </c>
      <c r="H3672" t="s">
        <v>5</v>
      </c>
      <c r="I3672" s="1">
        <v>45.6</v>
      </c>
      <c r="J3672" s="1">
        <v>45.6</v>
      </c>
      <c r="K3672" t="s">
        <v>6</v>
      </c>
    </row>
    <row r="3673" spans="1:11">
      <c r="A3673" t="s">
        <v>3284</v>
      </c>
      <c r="B3673">
        <v>369405</v>
      </c>
      <c r="C3673" s="2" t="str">
        <f>"916CD"</f>
        <v>916CD</v>
      </c>
      <c r="D3673" t="s">
        <v>3773</v>
      </c>
      <c r="E3673" t="s">
        <v>4</v>
      </c>
      <c r="F3673">
        <v>20.2</v>
      </c>
      <c r="H3673" t="s">
        <v>5</v>
      </c>
      <c r="I3673" s="1">
        <v>58.01</v>
      </c>
      <c r="J3673" s="1">
        <v>58.01</v>
      </c>
      <c r="K3673" t="s">
        <v>6</v>
      </c>
    </row>
    <row r="3674" spans="1:11">
      <c r="A3674" t="s">
        <v>3284</v>
      </c>
      <c r="B3674">
        <v>369221</v>
      </c>
      <c r="C3674" s="2" t="str">
        <f>"9171CD"</f>
        <v>9171CD</v>
      </c>
      <c r="D3674" t="s">
        <v>3774</v>
      </c>
      <c r="E3674" t="s">
        <v>4</v>
      </c>
      <c r="F3674">
        <v>27</v>
      </c>
      <c r="H3674" t="s">
        <v>5</v>
      </c>
      <c r="I3674" s="1">
        <v>68.39</v>
      </c>
      <c r="J3674" s="1">
        <v>68.39</v>
      </c>
      <c r="K3674" t="s">
        <v>6</v>
      </c>
    </row>
    <row r="3675" spans="1:11">
      <c r="A3675" t="s">
        <v>3284</v>
      </c>
      <c r="B3675">
        <v>371312</v>
      </c>
      <c r="C3675" s="2" t="str">
        <f>"917CD"</f>
        <v>917CD</v>
      </c>
      <c r="D3675" t="s">
        <v>3775</v>
      </c>
      <c r="E3675" t="s">
        <v>4</v>
      </c>
      <c r="F3675">
        <v>25.5</v>
      </c>
      <c r="H3675" t="s">
        <v>5</v>
      </c>
      <c r="I3675" s="1">
        <v>67.540000000000006</v>
      </c>
      <c r="J3675" s="1">
        <v>67.540000000000006</v>
      </c>
      <c r="K3675" t="s">
        <v>6</v>
      </c>
    </row>
    <row r="3676" spans="1:11">
      <c r="A3676" t="s">
        <v>3284</v>
      </c>
      <c r="B3676">
        <v>381990</v>
      </c>
      <c r="C3676" s="2" t="str">
        <f>"9520003"</f>
        <v>9520003</v>
      </c>
      <c r="D3676" t="s">
        <v>3776</v>
      </c>
      <c r="E3676" t="s">
        <v>4</v>
      </c>
      <c r="F3676">
        <v>16.3</v>
      </c>
      <c r="H3676" t="s">
        <v>5</v>
      </c>
      <c r="I3676" s="1">
        <v>39.979999999999997</v>
      </c>
      <c r="J3676" s="1">
        <v>39.979999999999997</v>
      </c>
      <c r="K3676" t="s">
        <v>6</v>
      </c>
    </row>
    <row r="3677" spans="1:11">
      <c r="A3677" t="s">
        <v>3284</v>
      </c>
      <c r="B3677">
        <v>370310</v>
      </c>
      <c r="C3677" s="2" t="str">
        <f>"9520004"</f>
        <v>9520004</v>
      </c>
      <c r="D3677" t="s">
        <v>3777</v>
      </c>
      <c r="E3677" t="s">
        <v>4</v>
      </c>
      <c r="F3677">
        <v>14.5</v>
      </c>
      <c r="H3677" t="s">
        <v>5</v>
      </c>
      <c r="I3677" s="1">
        <v>36.340000000000003</v>
      </c>
      <c r="J3677" s="1">
        <v>36.340000000000003</v>
      </c>
      <c r="K3677" t="s">
        <v>6</v>
      </c>
    </row>
    <row r="3678" spans="1:11">
      <c r="A3678" t="s">
        <v>3284</v>
      </c>
      <c r="B3678">
        <v>370558</v>
      </c>
      <c r="C3678" s="2" t="str">
        <f>"9570101"</f>
        <v>9570101</v>
      </c>
      <c r="D3678" t="s">
        <v>3778</v>
      </c>
      <c r="E3678" t="s">
        <v>4</v>
      </c>
      <c r="F3678">
        <v>21.53</v>
      </c>
      <c r="H3678" t="s">
        <v>5</v>
      </c>
      <c r="I3678" s="1">
        <v>124.67</v>
      </c>
      <c r="J3678" s="1">
        <v>124.67</v>
      </c>
      <c r="K3678" t="s">
        <v>6</v>
      </c>
    </row>
    <row r="3679" spans="1:11">
      <c r="A3679" t="s">
        <v>3284</v>
      </c>
      <c r="B3679">
        <v>369357</v>
      </c>
      <c r="C3679" s="2" t="str">
        <f>"96"</f>
        <v>96</v>
      </c>
      <c r="D3679" t="s">
        <v>3779</v>
      </c>
      <c r="E3679" t="s">
        <v>4</v>
      </c>
      <c r="F3679">
        <v>31</v>
      </c>
      <c r="H3679" t="s">
        <v>5</v>
      </c>
      <c r="I3679" s="1">
        <v>91.78</v>
      </c>
      <c r="J3679" s="1">
        <v>91.78</v>
      </c>
      <c r="K3679" t="s">
        <v>6</v>
      </c>
    </row>
    <row r="3680" spans="1:11">
      <c r="A3680" t="s">
        <v>3284</v>
      </c>
      <c r="B3680">
        <v>440835</v>
      </c>
      <c r="C3680" s="2" t="str">
        <f>"96/11680"</f>
        <v>96/11680</v>
      </c>
      <c r="D3680" t="s">
        <v>3780</v>
      </c>
      <c r="E3680" t="s">
        <v>4</v>
      </c>
      <c r="F3680">
        <v>22.7</v>
      </c>
      <c r="H3680" t="s">
        <v>5</v>
      </c>
      <c r="I3680" s="1">
        <v>87.74</v>
      </c>
      <c r="J3680" s="1">
        <v>87.74</v>
      </c>
      <c r="K3680" t="s">
        <v>6</v>
      </c>
    </row>
    <row r="3681" spans="1:11">
      <c r="A3681" t="s">
        <v>3284</v>
      </c>
      <c r="B3681">
        <v>368680</v>
      </c>
      <c r="C3681" s="2" t="str">
        <f>"97000"</f>
        <v>97000</v>
      </c>
      <c r="D3681" t="s">
        <v>3720</v>
      </c>
      <c r="E3681" t="s">
        <v>4</v>
      </c>
      <c r="F3681">
        <v>21</v>
      </c>
      <c r="H3681" t="s">
        <v>5</v>
      </c>
      <c r="I3681" s="1">
        <v>59.89</v>
      </c>
      <c r="J3681" s="1">
        <v>59.89</v>
      </c>
      <c r="K3681" t="s">
        <v>6</v>
      </c>
    </row>
    <row r="3682" spans="1:11">
      <c r="A3682" t="s">
        <v>3284</v>
      </c>
      <c r="B3682">
        <v>369479</v>
      </c>
      <c r="C3682" s="2" t="str">
        <f>"97001"</f>
        <v>97001</v>
      </c>
      <c r="D3682" t="s">
        <v>3781</v>
      </c>
      <c r="E3682" t="s">
        <v>4</v>
      </c>
      <c r="F3682">
        <v>13</v>
      </c>
      <c r="H3682" t="s">
        <v>5</v>
      </c>
      <c r="I3682" s="1">
        <v>36.08</v>
      </c>
      <c r="J3682" s="1">
        <v>36.08</v>
      </c>
      <c r="K3682" t="s">
        <v>6</v>
      </c>
    </row>
    <row r="3683" spans="1:11">
      <c r="A3683" t="s">
        <v>3284</v>
      </c>
      <c r="B3683">
        <v>370148</v>
      </c>
      <c r="C3683" s="2" t="str">
        <f>"97036"</f>
        <v>97036</v>
      </c>
      <c r="D3683" t="s">
        <v>3782</v>
      </c>
      <c r="E3683" t="s">
        <v>4</v>
      </c>
      <c r="F3683">
        <v>17</v>
      </c>
      <c r="H3683" t="s">
        <v>5</v>
      </c>
      <c r="I3683" s="1">
        <v>46.61</v>
      </c>
      <c r="J3683" s="1">
        <v>46.61</v>
      </c>
      <c r="K3683" t="s">
        <v>6</v>
      </c>
    </row>
    <row r="3684" spans="1:11">
      <c r="A3684" t="s">
        <v>3284</v>
      </c>
      <c r="B3684">
        <v>370120</v>
      </c>
      <c r="C3684" s="2" t="str">
        <f>"97038"</f>
        <v>97038</v>
      </c>
      <c r="D3684" t="s">
        <v>3783</v>
      </c>
      <c r="E3684" t="s">
        <v>4</v>
      </c>
      <c r="F3684">
        <v>9</v>
      </c>
      <c r="H3684" t="s">
        <v>5</v>
      </c>
      <c r="I3684" s="1">
        <v>63.21</v>
      </c>
      <c r="J3684" s="1">
        <v>63.21</v>
      </c>
      <c r="K3684" t="s">
        <v>6</v>
      </c>
    </row>
    <row r="3685" spans="1:11">
      <c r="A3685" t="s">
        <v>3284</v>
      </c>
      <c r="B3685">
        <v>369305</v>
      </c>
      <c r="C3685" s="2" t="str">
        <f>"97052"</f>
        <v>97052</v>
      </c>
      <c r="D3685" t="s">
        <v>3784</v>
      </c>
      <c r="E3685" t="s">
        <v>4</v>
      </c>
      <c r="F3685">
        <v>22</v>
      </c>
      <c r="H3685" t="s">
        <v>5</v>
      </c>
      <c r="I3685" s="1">
        <v>225.98</v>
      </c>
      <c r="J3685" s="1">
        <v>225.98</v>
      </c>
      <c r="K3685" t="s">
        <v>6</v>
      </c>
    </row>
    <row r="3686" spans="1:11">
      <c r="A3686" t="s">
        <v>3284</v>
      </c>
      <c r="B3686">
        <v>369649</v>
      </c>
      <c r="C3686" s="2" t="str">
        <f>"97084"</f>
        <v>97084</v>
      </c>
      <c r="D3686" t="s">
        <v>3785</v>
      </c>
      <c r="E3686" t="s">
        <v>4</v>
      </c>
      <c r="F3686">
        <v>12</v>
      </c>
      <c r="H3686" t="s">
        <v>5</v>
      </c>
      <c r="I3686" s="1">
        <v>15.3</v>
      </c>
      <c r="J3686" s="1">
        <v>15.3</v>
      </c>
      <c r="K3686" t="s">
        <v>6</v>
      </c>
    </row>
    <row r="3687" spans="1:11">
      <c r="A3687" t="s">
        <v>3284</v>
      </c>
      <c r="B3687">
        <v>369422</v>
      </c>
      <c r="C3687" s="2" t="str">
        <f>"97085"</f>
        <v>97085</v>
      </c>
      <c r="D3687" t="s">
        <v>3786</v>
      </c>
      <c r="E3687" t="s">
        <v>4</v>
      </c>
      <c r="F3687">
        <v>12</v>
      </c>
      <c r="H3687" t="s">
        <v>5</v>
      </c>
      <c r="I3687" s="1">
        <v>17.75</v>
      </c>
      <c r="J3687" s="1">
        <v>17.75</v>
      </c>
      <c r="K3687" t="s">
        <v>6</v>
      </c>
    </row>
    <row r="3688" spans="1:11">
      <c r="A3688" t="s">
        <v>3284</v>
      </c>
      <c r="B3688">
        <v>369549</v>
      </c>
      <c r="C3688" s="2" t="str">
        <f>"9860594"</f>
        <v>9860594</v>
      </c>
      <c r="D3688" t="s">
        <v>3787</v>
      </c>
      <c r="E3688" t="s">
        <v>4</v>
      </c>
      <c r="F3688">
        <v>8.9499999999999993</v>
      </c>
      <c r="H3688" t="s">
        <v>5</v>
      </c>
      <c r="I3688" s="1">
        <v>41.13</v>
      </c>
      <c r="J3688" s="1">
        <v>41.13</v>
      </c>
      <c r="K3688" t="s">
        <v>6</v>
      </c>
    </row>
    <row r="3689" spans="1:11">
      <c r="A3689" t="s">
        <v>3284</v>
      </c>
      <c r="B3689">
        <v>377096</v>
      </c>
      <c r="C3689" s="2" t="str">
        <f>"9862324"</f>
        <v>9862324</v>
      </c>
      <c r="D3689" t="s">
        <v>3788</v>
      </c>
      <c r="E3689" t="s">
        <v>4</v>
      </c>
      <c r="F3689">
        <v>16.059999999999999</v>
      </c>
      <c r="H3689" t="s">
        <v>5</v>
      </c>
      <c r="I3689" s="1">
        <v>90.04</v>
      </c>
      <c r="J3689" s="1">
        <v>90.04</v>
      </c>
      <c r="K3689" t="s">
        <v>6</v>
      </c>
    </row>
    <row r="3690" spans="1:11">
      <c r="A3690" t="s">
        <v>3284</v>
      </c>
      <c r="B3690">
        <v>553016</v>
      </c>
      <c r="C3690" s="2" t="str">
        <f>"C189ZX"</f>
        <v>C189ZX</v>
      </c>
      <c r="D3690" t="s">
        <v>3789</v>
      </c>
      <c r="E3690" t="s">
        <v>4</v>
      </c>
      <c r="F3690">
        <v>8.25</v>
      </c>
      <c r="H3690" t="s">
        <v>5</v>
      </c>
      <c r="I3690" s="1">
        <v>70.56</v>
      </c>
      <c r="J3690" s="1">
        <v>70.56</v>
      </c>
      <c r="K3690" t="s">
        <v>6</v>
      </c>
    </row>
    <row r="3691" spans="1:11">
      <c r="A3691" t="s">
        <v>3284</v>
      </c>
      <c r="B3691">
        <v>376195</v>
      </c>
      <c r="C3691" s="2" t="str">
        <f>"C211ZX"</f>
        <v>C211ZX</v>
      </c>
      <c r="D3691" t="s">
        <v>3790</v>
      </c>
      <c r="E3691" t="s">
        <v>4</v>
      </c>
      <c r="F3691">
        <v>11</v>
      </c>
      <c r="H3691" t="s">
        <v>5</v>
      </c>
      <c r="I3691" s="1">
        <v>158.44</v>
      </c>
      <c r="J3691" s="1">
        <v>158.44</v>
      </c>
      <c r="K3691" t="s">
        <v>6</v>
      </c>
    </row>
    <row r="3692" spans="1:11">
      <c r="A3692" t="s">
        <v>3284</v>
      </c>
      <c r="B3692">
        <v>440803</v>
      </c>
      <c r="C3692" s="2" t="str">
        <f>"C269ZX"</f>
        <v>C269ZX</v>
      </c>
      <c r="D3692" t="s">
        <v>3791</v>
      </c>
      <c r="E3692" t="s">
        <v>4</v>
      </c>
      <c r="F3692">
        <v>18</v>
      </c>
      <c r="H3692" t="s">
        <v>5</v>
      </c>
      <c r="I3692" s="1">
        <v>149.79</v>
      </c>
      <c r="J3692" s="1">
        <v>149.79</v>
      </c>
      <c r="K3692" t="s">
        <v>6</v>
      </c>
    </row>
    <row r="3693" spans="1:11">
      <c r="A3693" t="s">
        <v>3284</v>
      </c>
      <c r="B3693">
        <v>374968</v>
      </c>
      <c r="C3693" s="2" t="str">
        <f>"PM514ZX"</f>
        <v>PM514ZX</v>
      </c>
      <c r="D3693" t="s">
        <v>3792</v>
      </c>
      <c r="E3693" t="s">
        <v>4</v>
      </c>
      <c r="F3693">
        <v>20</v>
      </c>
      <c r="H3693" t="s">
        <v>5</v>
      </c>
      <c r="I3693" s="1">
        <v>122.66</v>
      </c>
      <c r="J3693" s="1">
        <v>122.66</v>
      </c>
      <c r="K3693" t="s">
        <v>6</v>
      </c>
    </row>
    <row r="3694" spans="1:11">
      <c r="A3694" t="s">
        <v>3284</v>
      </c>
      <c r="B3694">
        <v>377051</v>
      </c>
      <c r="C3694" s="2" t="str">
        <f>"PM515ZX"</f>
        <v>PM515ZX</v>
      </c>
      <c r="D3694" t="s">
        <v>3793</v>
      </c>
      <c r="E3694" t="s">
        <v>4</v>
      </c>
      <c r="F3694">
        <v>17</v>
      </c>
      <c r="H3694" t="s">
        <v>5</v>
      </c>
      <c r="I3694" s="1">
        <v>122.66</v>
      </c>
      <c r="J3694" s="1">
        <v>122.66</v>
      </c>
      <c r="K3694" t="s">
        <v>6</v>
      </c>
    </row>
    <row r="3695" spans="1:11">
      <c r="A3695" t="s">
        <v>3284</v>
      </c>
      <c r="B3695">
        <v>374970</v>
      </c>
      <c r="C3695" s="2" t="str">
        <f>"PM521ZX"</f>
        <v>PM521ZX</v>
      </c>
      <c r="D3695" t="s">
        <v>3794</v>
      </c>
      <c r="E3695" t="s">
        <v>4</v>
      </c>
      <c r="F3695">
        <v>15</v>
      </c>
      <c r="H3695" t="s">
        <v>5</v>
      </c>
      <c r="I3695" s="1">
        <v>122.66</v>
      </c>
      <c r="J3695" s="1">
        <v>122.66</v>
      </c>
      <c r="K3695" t="s">
        <v>6</v>
      </c>
    </row>
    <row r="3696" spans="1:11">
      <c r="A3696" t="s">
        <v>3795</v>
      </c>
      <c r="B3696">
        <v>459586</v>
      </c>
      <c r="C3696" s="2" t="str">
        <f>"42001"</f>
        <v>42001</v>
      </c>
      <c r="D3696" t="s">
        <v>3796</v>
      </c>
      <c r="E3696" t="s">
        <v>4</v>
      </c>
      <c r="F3696">
        <v>4.8</v>
      </c>
      <c r="H3696" t="s">
        <v>5</v>
      </c>
      <c r="I3696" s="1">
        <v>60.51</v>
      </c>
      <c r="J3696" s="1">
        <v>59.62</v>
      </c>
      <c r="K3696" t="s">
        <v>6</v>
      </c>
    </row>
    <row r="3697" spans="1:11">
      <c r="A3697" t="s">
        <v>3795</v>
      </c>
      <c r="B3697">
        <v>459587</v>
      </c>
      <c r="C3697" s="2" t="str">
        <f>"42002"</f>
        <v>42002</v>
      </c>
      <c r="D3697" t="s">
        <v>3797</v>
      </c>
      <c r="E3697" t="s">
        <v>4</v>
      </c>
      <c r="F3697">
        <v>2.5</v>
      </c>
      <c r="H3697" t="s">
        <v>5</v>
      </c>
      <c r="I3697" s="1">
        <v>36.770000000000003</v>
      </c>
      <c r="J3697" s="1">
        <v>36.229999999999997</v>
      </c>
      <c r="K3697" t="s">
        <v>6</v>
      </c>
    </row>
    <row r="3698" spans="1:11">
      <c r="A3698" t="s">
        <v>3795</v>
      </c>
      <c r="B3698">
        <v>459584</v>
      </c>
      <c r="C3698" s="2" t="str">
        <f>"42005"</f>
        <v>42005</v>
      </c>
      <c r="D3698" t="s">
        <v>3798</v>
      </c>
      <c r="E3698" t="s">
        <v>4</v>
      </c>
      <c r="F3698">
        <v>2.8</v>
      </c>
      <c r="H3698" t="s">
        <v>5</v>
      </c>
      <c r="I3698" s="1">
        <v>33.58</v>
      </c>
      <c r="J3698" s="1">
        <v>33.090000000000003</v>
      </c>
      <c r="K3698" t="s">
        <v>6</v>
      </c>
    </row>
    <row r="3699" spans="1:11">
      <c r="A3699" t="s">
        <v>3795</v>
      </c>
      <c r="B3699">
        <v>459589</v>
      </c>
      <c r="C3699" s="2" t="str">
        <f>"42007"</f>
        <v>42007</v>
      </c>
      <c r="D3699" t="s">
        <v>3799</v>
      </c>
      <c r="E3699" t="s">
        <v>4</v>
      </c>
      <c r="F3699">
        <v>3</v>
      </c>
      <c r="H3699" t="s">
        <v>5</v>
      </c>
      <c r="I3699" s="1">
        <v>40.68</v>
      </c>
      <c r="J3699" s="1">
        <v>40.08</v>
      </c>
      <c r="K3699" t="s">
        <v>6</v>
      </c>
    </row>
    <row r="3700" spans="1:11">
      <c r="A3700" t="s">
        <v>3795</v>
      </c>
      <c r="B3700">
        <v>459590</v>
      </c>
      <c r="C3700" s="2" t="str">
        <f>"42008"</f>
        <v>42008</v>
      </c>
      <c r="D3700" t="s">
        <v>3800</v>
      </c>
      <c r="E3700" t="s">
        <v>4</v>
      </c>
      <c r="F3700">
        <v>2.2599999999999998</v>
      </c>
      <c r="H3700" t="s">
        <v>5</v>
      </c>
      <c r="I3700" s="1">
        <v>25.39</v>
      </c>
      <c r="J3700" s="1">
        <v>25.01</v>
      </c>
      <c r="K3700" t="s">
        <v>6</v>
      </c>
    </row>
    <row r="3701" spans="1:11">
      <c r="A3701" t="s">
        <v>3795</v>
      </c>
      <c r="B3701">
        <v>459588</v>
      </c>
      <c r="C3701" s="2" t="str">
        <f>"42011"</f>
        <v>42011</v>
      </c>
      <c r="D3701" t="s">
        <v>3801</v>
      </c>
      <c r="E3701" t="s">
        <v>4</v>
      </c>
      <c r="F3701">
        <v>1.7</v>
      </c>
      <c r="H3701" t="s">
        <v>5</v>
      </c>
      <c r="I3701" s="1">
        <v>33.58</v>
      </c>
      <c r="J3701" s="1">
        <v>33.090000000000003</v>
      </c>
      <c r="K3701" t="s">
        <v>6</v>
      </c>
    </row>
    <row r="3702" spans="1:11">
      <c r="A3702" t="s">
        <v>3795</v>
      </c>
      <c r="B3702">
        <v>523688</v>
      </c>
      <c r="C3702" s="2" t="str">
        <f>"42120"</f>
        <v>42120</v>
      </c>
      <c r="D3702" t="s">
        <v>3802</v>
      </c>
      <c r="E3702" t="s">
        <v>4</v>
      </c>
      <c r="F3702">
        <v>3</v>
      </c>
      <c r="H3702" t="s">
        <v>5</v>
      </c>
      <c r="I3702" s="1">
        <v>32.07</v>
      </c>
      <c r="J3702" s="1">
        <v>31.6</v>
      </c>
      <c r="K3702" t="s">
        <v>6</v>
      </c>
    </row>
    <row r="3703" spans="1:11">
      <c r="A3703" t="s">
        <v>3795</v>
      </c>
      <c r="B3703">
        <v>459585</v>
      </c>
      <c r="C3703" s="2" t="str">
        <f>"42595"</f>
        <v>42595</v>
      </c>
      <c r="D3703" t="s">
        <v>3803</v>
      </c>
      <c r="E3703" t="s">
        <v>4</v>
      </c>
      <c r="F3703">
        <v>24</v>
      </c>
      <c r="H3703" t="s">
        <v>5</v>
      </c>
      <c r="I3703" s="1">
        <v>30.35</v>
      </c>
      <c r="J3703" s="1">
        <v>29.9</v>
      </c>
      <c r="K3703" t="s">
        <v>6</v>
      </c>
    </row>
    <row r="3704" spans="1:11">
      <c r="A3704" t="s">
        <v>3795</v>
      </c>
      <c r="B3704">
        <v>459583</v>
      </c>
      <c r="C3704" s="2" t="str">
        <f>"42636"</f>
        <v>42636</v>
      </c>
      <c r="D3704" t="s">
        <v>3804</v>
      </c>
      <c r="E3704" t="s">
        <v>4</v>
      </c>
      <c r="F3704">
        <v>3</v>
      </c>
      <c r="H3704" t="s">
        <v>5</v>
      </c>
      <c r="I3704" s="1">
        <v>35.94</v>
      </c>
      <c r="J3704" s="1">
        <v>35.409999999999997</v>
      </c>
      <c r="K3704" t="s">
        <v>6</v>
      </c>
    </row>
    <row r="3705" spans="1:11">
      <c r="A3705" t="s">
        <v>3795</v>
      </c>
      <c r="B3705">
        <v>459581</v>
      </c>
      <c r="C3705" s="2" t="str">
        <f>"42637"</f>
        <v>42637</v>
      </c>
      <c r="D3705" t="s">
        <v>3805</v>
      </c>
      <c r="E3705" t="s">
        <v>4</v>
      </c>
      <c r="F3705">
        <v>3</v>
      </c>
      <c r="H3705" t="s">
        <v>5</v>
      </c>
      <c r="I3705" s="1">
        <v>32.49</v>
      </c>
      <c r="J3705" s="1">
        <v>32.01</v>
      </c>
      <c r="K3705" t="s">
        <v>6</v>
      </c>
    </row>
    <row r="3706" spans="1:11">
      <c r="A3706" t="s">
        <v>3795</v>
      </c>
      <c r="B3706">
        <v>523689</v>
      </c>
      <c r="C3706" s="2" t="str">
        <f>"42645"</f>
        <v>42645</v>
      </c>
      <c r="D3706" t="s">
        <v>3806</v>
      </c>
      <c r="E3706" t="s">
        <v>4</v>
      </c>
      <c r="F3706">
        <v>3</v>
      </c>
      <c r="H3706" t="s">
        <v>5</v>
      </c>
      <c r="I3706" s="1">
        <v>32.700000000000003</v>
      </c>
      <c r="J3706" s="1">
        <v>32.21</v>
      </c>
      <c r="K3706" t="s">
        <v>6</v>
      </c>
    </row>
    <row r="3707" spans="1:11">
      <c r="A3707" t="s">
        <v>3795</v>
      </c>
      <c r="B3707">
        <v>466968</v>
      </c>
      <c r="C3707" s="2" t="str">
        <f>"42948"</f>
        <v>42948</v>
      </c>
      <c r="D3707" t="s">
        <v>3807</v>
      </c>
      <c r="E3707" t="s">
        <v>4</v>
      </c>
      <c r="F3707">
        <v>3.5</v>
      </c>
      <c r="H3707" t="s">
        <v>5</v>
      </c>
      <c r="I3707" s="1">
        <v>11.57</v>
      </c>
      <c r="J3707" s="1">
        <v>11.4</v>
      </c>
      <c r="K3707" t="s">
        <v>6</v>
      </c>
    </row>
    <row r="3708" spans="1:11">
      <c r="A3708" t="s">
        <v>3795</v>
      </c>
      <c r="B3708">
        <v>466987</v>
      </c>
      <c r="C3708" s="2" t="str">
        <f>"42949"</f>
        <v>42949</v>
      </c>
      <c r="D3708" t="s">
        <v>3808</v>
      </c>
      <c r="E3708" t="s">
        <v>4</v>
      </c>
      <c r="F3708">
        <v>2.5</v>
      </c>
      <c r="H3708" t="s">
        <v>5</v>
      </c>
      <c r="I3708" s="1">
        <v>12.72</v>
      </c>
      <c r="J3708" s="1">
        <v>12.53</v>
      </c>
      <c r="K3708" t="s">
        <v>6</v>
      </c>
    </row>
    <row r="3709" spans="1:11">
      <c r="A3709" t="s">
        <v>3795</v>
      </c>
      <c r="B3709">
        <v>466963</v>
      </c>
      <c r="C3709" s="2" t="str">
        <f>"42951"</f>
        <v>42951</v>
      </c>
      <c r="D3709" t="s">
        <v>3809</v>
      </c>
      <c r="E3709" t="s">
        <v>4</v>
      </c>
      <c r="F3709">
        <v>10</v>
      </c>
      <c r="H3709" t="s">
        <v>5</v>
      </c>
      <c r="I3709" s="1">
        <v>35.380000000000003</v>
      </c>
      <c r="J3709" s="1">
        <v>34.85</v>
      </c>
      <c r="K3709" t="s">
        <v>6</v>
      </c>
    </row>
    <row r="3710" spans="1:11">
      <c r="A3710" t="s">
        <v>3795</v>
      </c>
      <c r="B3710">
        <v>538489</v>
      </c>
      <c r="C3710" s="2" t="str">
        <f>"43231"</f>
        <v>43231</v>
      </c>
      <c r="D3710" t="s">
        <v>3810</v>
      </c>
      <c r="E3710" t="s">
        <v>4</v>
      </c>
      <c r="F3710">
        <v>3</v>
      </c>
      <c r="H3710" t="s">
        <v>5</v>
      </c>
      <c r="I3710" s="1">
        <v>32.07</v>
      </c>
      <c r="J3710" s="1">
        <v>31.6</v>
      </c>
      <c r="K3710" t="s">
        <v>6</v>
      </c>
    </row>
    <row r="3711" spans="1:11">
      <c r="A3711" t="s">
        <v>3795</v>
      </c>
      <c r="B3711">
        <v>557413</v>
      </c>
      <c r="C3711" s="2" t="str">
        <f>"43315"</f>
        <v>43315</v>
      </c>
      <c r="D3711" t="s">
        <v>3811</v>
      </c>
      <c r="E3711" t="s">
        <v>4</v>
      </c>
      <c r="F3711">
        <v>3.1</v>
      </c>
      <c r="H3711" t="s">
        <v>5</v>
      </c>
      <c r="I3711" s="1">
        <v>34.31</v>
      </c>
      <c r="J3711" s="1">
        <v>33.799999999999997</v>
      </c>
      <c r="K3711" t="s">
        <v>6</v>
      </c>
    </row>
    <row r="3712" spans="1:11">
      <c r="A3712" t="s">
        <v>3795</v>
      </c>
      <c r="B3712">
        <v>546343</v>
      </c>
      <c r="C3712" s="2" t="str">
        <f>"43535"</f>
        <v>43535</v>
      </c>
      <c r="D3712" t="s">
        <v>3812</v>
      </c>
      <c r="E3712" t="s">
        <v>4</v>
      </c>
      <c r="F3712">
        <v>5</v>
      </c>
      <c r="H3712" t="s">
        <v>5</v>
      </c>
      <c r="I3712" s="1">
        <v>309.24</v>
      </c>
      <c r="J3712" s="1">
        <v>304.67</v>
      </c>
      <c r="K3712" t="s">
        <v>6</v>
      </c>
    </row>
    <row r="3713" spans="1:12">
      <c r="A3713" t="s">
        <v>3795</v>
      </c>
      <c r="B3713">
        <v>543755</v>
      </c>
      <c r="C3713" s="2" t="str">
        <f>"45010"</f>
        <v>45010</v>
      </c>
      <c r="D3713" t="s">
        <v>3813</v>
      </c>
      <c r="E3713" t="s">
        <v>4</v>
      </c>
      <c r="F3713">
        <v>2</v>
      </c>
      <c r="H3713" t="s">
        <v>5</v>
      </c>
      <c r="I3713" s="1">
        <v>33.57</v>
      </c>
      <c r="J3713" s="1">
        <v>33.07</v>
      </c>
      <c r="K3713" t="s">
        <v>6</v>
      </c>
    </row>
    <row r="3714" spans="1:12">
      <c r="A3714" t="s">
        <v>3795</v>
      </c>
      <c r="B3714">
        <v>549456</v>
      </c>
      <c r="C3714" s="2" t="str">
        <f>"45012"</f>
        <v>45012</v>
      </c>
      <c r="D3714" t="s">
        <v>3814</v>
      </c>
      <c r="E3714" t="s">
        <v>4</v>
      </c>
      <c r="F3714">
        <v>2</v>
      </c>
      <c r="H3714" t="s">
        <v>5</v>
      </c>
      <c r="I3714" s="1">
        <v>31.2</v>
      </c>
      <c r="J3714" s="1">
        <v>30.75</v>
      </c>
      <c r="K3714" t="s">
        <v>6</v>
      </c>
    </row>
    <row r="3715" spans="1:12">
      <c r="A3715" t="s">
        <v>3795</v>
      </c>
      <c r="B3715">
        <v>549458</v>
      </c>
      <c r="C3715" s="2" t="str">
        <f>"45018"</f>
        <v>45018</v>
      </c>
      <c r="D3715" t="s">
        <v>3815</v>
      </c>
      <c r="E3715" t="s">
        <v>4</v>
      </c>
      <c r="F3715">
        <v>4</v>
      </c>
      <c r="H3715" t="s">
        <v>5</v>
      </c>
      <c r="I3715" s="1">
        <v>40.68</v>
      </c>
      <c r="J3715" s="1">
        <v>40.08</v>
      </c>
      <c r="K3715" t="s">
        <v>6</v>
      </c>
    </row>
    <row r="3716" spans="1:12">
      <c r="A3716" t="s">
        <v>3795</v>
      </c>
      <c r="B3716">
        <v>543756</v>
      </c>
      <c r="C3716" s="2" t="str">
        <f>"45020"</f>
        <v>45020</v>
      </c>
      <c r="D3716" t="s">
        <v>3816</v>
      </c>
      <c r="E3716" t="s">
        <v>4</v>
      </c>
      <c r="F3716">
        <v>3</v>
      </c>
      <c r="H3716" t="s">
        <v>5</v>
      </c>
      <c r="I3716" s="1">
        <v>25.39</v>
      </c>
      <c r="J3716" s="1">
        <v>25.01</v>
      </c>
      <c r="K3716" t="s">
        <v>6</v>
      </c>
    </row>
    <row r="3717" spans="1:12">
      <c r="A3717" t="s">
        <v>3795</v>
      </c>
      <c r="B3717">
        <v>543757</v>
      </c>
      <c r="C3717" s="2" t="str">
        <f>"45030"</f>
        <v>45030</v>
      </c>
      <c r="D3717" t="s">
        <v>3817</v>
      </c>
      <c r="E3717" t="s">
        <v>4</v>
      </c>
      <c r="F3717">
        <v>3</v>
      </c>
      <c r="H3717" t="s">
        <v>5</v>
      </c>
      <c r="I3717" s="1">
        <v>35.950000000000003</v>
      </c>
      <c r="J3717" s="1">
        <v>35.409999999999997</v>
      </c>
      <c r="K3717" t="s">
        <v>6</v>
      </c>
    </row>
    <row r="3718" spans="1:12">
      <c r="A3718" t="s">
        <v>3795</v>
      </c>
      <c r="B3718">
        <v>543752</v>
      </c>
      <c r="C3718" s="2" t="str">
        <f>"45042"</f>
        <v>45042</v>
      </c>
      <c r="D3718" t="s">
        <v>3818</v>
      </c>
      <c r="E3718" t="s">
        <v>4</v>
      </c>
      <c r="F3718">
        <v>4</v>
      </c>
      <c r="H3718" t="s">
        <v>5</v>
      </c>
      <c r="I3718" s="1">
        <v>60.5</v>
      </c>
      <c r="J3718" s="1">
        <v>59.61</v>
      </c>
      <c r="K3718" t="s">
        <v>6</v>
      </c>
    </row>
    <row r="3719" spans="1:12">
      <c r="A3719" t="s">
        <v>3795</v>
      </c>
      <c r="B3719">
        <v>543753</v>
      </c>
      <c r="C3719" s="2" t="str">
        <f>"45044"</f>
        <v>45044</v>
      </c>
      <c r="D3719" t="s">
        <v>3819</v>
      </c>
      <c r="E3719" t="s">
        <v>4</v>
      </c>
      <c r="F3719">
        <v>4</v>
      </c>
      <c r="H3719" t="s">
        <v>5</v>
      </c>
      <c r="I3719" s="1">
        <v>60.5</v>
      </c>
      <c r="J3719" s="1">
        <v>59.61</v>
      </c>
      <c r="K3719" t="s">
        <v>6</v>
      </c>
    </row>
    <row r="3720" spans="1:12">
      <c r="A3720" t="s">
        <v>3795</v>
      </c>
      <c r="B3720">
        <v>543754</v>
      </c>
      <c r="C3720" s="2" t="str">
        <f>"45048"</f>
        <v>45048</v>
      </c>
      <c r="D3720" t="s">
        <v>3820</v>
      </c>
      <c r="E3720" t="s">
        <v>4</v>
      </c>
      <c r="F3720">
        <v>3</v>
      </c>
      <c r="H3720" t="s">
        <v>5</v>
      </c>
      <c r="I3720" s="1">
        <v>36.78</v>
      </c>
      <c r="J3720" s="1">
        <v>36.229999999999997</v>
      </c>
      <c r="K3720" t="s">
        <v>6</v>
      </c>
    </row>
    <row r="3721" spans="1:12">
      <c r="A3721" t="s">
        <v>3795</v>
      </c>
      <c r="B3721">
        <v>543758</v>
      </c>
      <c r="C3721" s="2" t="str">
        <f>"45050"</f>
        <v>45050</v>
      </c>
      <c r="D3721" t="s">
        <v>3821</v>
      </c>
      <c r="E3721" t="s">
        <v>4</v>
      </c>
      <c r="F3721">
        <v>3</v>
      </c>
      <c r="H3721" t="s">
        <v>5</v>
      </c>
      <c r="I3721" s="1">
        <v>30.34</v>
      </c>
      <c r="J3721" s="1">
        <v>29.9</v>
      </c>
      <c r="K3721" t="s">
        <v>6</v>
      </c>
    </row>
    <row r="3722" spans="1:12">
      <c r="A3722" t="s">
        <v>3795</v>
      </c>
      <c r="B3722">
        <v>544205</v>
      </c>
      <c r="C3722" s="2" t="str">
        <f>"49000"</f>
        <v>49000</v>
      </c>
      <c r="D3722" t="s">
        <v>3822</v>
      </c>
      <c r="E3722" t="s">
        <v>4</v>
      </c>
      <c r="F3722">
        <v>2</v>
      </c>
      <c r="H3722" t="s">
        <v>5</v>
      </c>
      <c r="I3722" s="1">
        <v>23.27</v>
      </c>
      <c r="J3722" s="1">
        <v>22.93</v>
      </c>
      <c r="K3722" t="s">
        <v>6</v>
      </c>
    </row>
    <row r="3723" spans="1:12">
      <c r="A3723" t="s">
        <v>3795</v>
      </c>
      <c r="B3723">
        <v>544204</v>
      </c>
      <c r="C3723" s="2" t="str">
        <f>"49001"</f>
        <v>49001</v>
      </c>
      <c r="D3723" t="s">
        <v>3823</v>
      </c>
      <c r="E3723" t="s">
        <v>4</v>
      </c>
      <c r="F3723">
        <v>2</v>
      </c>
      <c r="H3723" t="s">
        <v>5</v>
      </c>
      <c r="I3723" s="1">
        <v>23.27</v>
      </c>
      <c r="J3723" s="1">
        <v>22.93</v>
      </c>
      <c r="K3723" t="s">
        <v>6</v>
      </c>
    </row>
    <row r="3724" spans="1:12">
      <c r="A3724" t="s">
        <v>3795</v>
      </c>
      <c r="B3724">
        <v>544206</v>
      </c>
      <c r="C3724" s="2" t="str">
        <f>"49002"</f>
        <v>49002</v>
      </c>
      <c r="D3724" t="s">
        <v>3824</v>
      </c>
      <c r="E3724" t="s">
        <v>4</v>
      </c>
      <c r="F3724">
        <v>2</v>
      </c>
      <c r="H3724" t="s">
        <v>5</v>
      </c>
      <c r="I3724" s="1">
        <v>21.26</v>
      </c>
      <c r="J3724" s="1">
        <v>20.94</v>
      </c>
      <c r="K3724" t="s">
        <v>6</v>
      </c>
    </row>
    <row r="3725" spans="1:12">
      <c r="A3725" t="s">
        <v>3825</v>
      </c>
      <c r="B3725">
        <v>487157</v>
      </c>
      <c r="C3725" s="2" t="str">
        <f>"02103"</f>
        <v>02103</v>
      </c>
      <c r="D3725" t="s">
        <v>3826</v>
      </c>
      <c r="E3725" t="s">
        <v>4</v>
      </c>
      <c r="F3725">
        <v>4</v>
      </c>
      <c r="H3725" t="s">
        <v>5</v>
      </c>
      <c r="I3725" s="1">
        <v>38.159999999999997</v>
      </c>
      <c r="J3725" s="1">
        <v>37.44</v>
      </c>
      <c r="K3725" t="s">
        <v>6</v>
      </c>
    </row>
    <row r="3726" spans="1:12">
      <c r="A3726" t="s">
        <v>3825</v>
      </c>
      <c r="B3726">
        <v>479534</v>
      </c>
      <c r="C3726" s="2" t="str">
        <f>"05002"</f>
        <v>05002</v>
      </c>
      <c r="D3726" t="s">
        <v>3827</v>
      </c>
      <c r="E3726" t="s">
        <v>4</v>
      </c>
      <c r="F3726">
        <v>7</v>
      </c>
      <c r="H3726" t="s">
        <v>5</v>
      </c>
      <c r="I3726" s="1">
        <v>9.01</v>
      </c>
      <c r="J3726" s="1">
        <v>8.84</v>
      </c>
      <c r="K3726" t="s">
        <v>6</v>
      </c>
    </row>
    <row r="3727" spans="1:12">
      <c r="A3727" t="s">
        <v>3825</v>
      </c>
      <c r="B3727">
        <v>429570</v>
      </c>
      <c r="C3727" s="2" t="str">
        <f>"06108P"</f>
        <v>06108P</v>
      </c>
      <c r="D3727" t="s">
        <v>3828</v>
      </c>
      <c r="E3727" t="s">
        <v>4</v>
      </c>
      <c r="F3727">
        <v>18</v>
      </c>
      <c r="H3727" t="s">
        <v>5</v>
      </c>
      <c r="I3727" s="1">
        <v>69.16</v>
      </c>
      <c r="J3727" s="1">
        <v>67.86</v>
      </c>
      <c r="K3727" t="s">
        <v>6</v>
      </c>
    </row>
    <row r="3728" spans="1:12">
      <c r="A3728" t="s">
        <v>3825</v>
      </c>
      <c r="B3728">
        <v>397295</v>
      </c>
      <c r="C3728" s="2" t="str">
        <f>"11005"</f>
        <v>11005</v>
      </c>
      <c r="D3728" t="s">
        <v>3829</v>
      </c>
      <c r="E3728" t="s">
        <v>4</v>
      </c>
      <c r="F3728">
        <v>30</v>
      </c>
      <c r="G3728">
        <v>5</v>
      </c>
      <c r="H3728" t="s">
        <v>20</v>
      </c>
      <c r="I3728" s="1">
        <v>38.64</v>
      </c>
      <c r="J3728" s="1">
        <v>34.869999999999997</v>
      </c>
      <c r="K3728" t="s">
        <v>3830</v>
      </c>
      <c r="L3728" s="1">
        <v>38.35</v>
      </c>
    </row>
    <row r="3729" spans="1:12">
      <c r="A3729" t="s">
        <v>3825</v>
      </c>
      <c r="B3729">
        <v>379272</v>
      </c>
      <c r="C3729" s="2" t="str">
        <f>"40062"</f>
        <v>40062</v>
      </c>
      <c r="D3729" t="s">
        <v>3831</v>
      </c>
      <c r="E3729" t="s">
        <v>4</v>
      </c>
      <c r="F3729">
        <v>10</v>
      </c>
      <c r="H3729" t="s">
        <v>5</v>
      </c>
      <c r="I3729" s="1">
        <v>19.5</v>
      </c>
      <c r="J3729" s="1">
        <v>18.329999999999998</v>
      </c>
      <c r="K3729" t="s">
        <v>6</v>
      </c>
    </row>
    <row r="3730" spans="1:12">
      <c r="A3730" t="s">
        <v>3825</v>
      </c>
      <c r="B3730">
        <v>479602</v>
      </c>
      <c r="C3730" s="2" t="str">
        <f>"90004"</f>
        <v>90004</v>
      </c>
      <c r="D3730" t="s">
        <v>3832</v>
      </c>
      <c r="E3730" t="s">
        <v>4</v>
      </c>
      <c r="F3730">
        <v>21.6</v>
      </c>
      <c r="G3730">
        <v>3.6</v>
      </c>
      <c r="H3730" t="s">
        <v>20</v>
      </c>
      <c r="I3730" s="1">
        <v>35.1</v>
      </c>
      <c r="J3730" s="1">
        <v>32.5</v>
      </c>
      <c r="K3730" t="s">
        <v>457</v>
      </c>
      <c r="L3730" s="1">
        <v>35.75</v>
      </c>
    </row>
    <row r="3731" spans="1:12">
      <c r="A3731" t="s">
        <v>3825</v>
      </c>
      <c r="B3731">
        <v>423510</v>
      </c>
      <c r="C3731" s="2" t="str">
        <f>"90005"</f>
        <v>90005</v>
      </c>
      <c r="D3731" t="s">
        <v>3833</v>
      </c>
      <c r="E3731" t="s">
        <v>4</v>
      </c>
      <c r="F3731">
        <v>13.65</v>
      </c>
      <c r="H3731" t="s">
        <v>5</v>
      </c>
      <c r="I3731" s="1">
        <v>132.5</v>
      </c>
      <c r="J3731" s="1">
        <v>130</v>
      </c>
      <c r="K3731" t="s">
        <v>6</v>
      </c>
    </row>
    <row r="3732" spans="1:12">
      <c r="A3732" t="s">
        <v>3825</v>
      </c>
      <c r="B3732">
        <v>557186</v>
      </c>
      <c r="C3732" s="2" t="str">
        <f>"90011"</f>
        <v>90011</v>
      </c>
      <c r="D3732" t="s">
        <v>3834</v>
      </c>
      <c r="E3732" t="s">
        <v>4</v>
      </c>
      <c r="F3732">
        <v>28.68</v>
      </c>
      <c r="G3732">
        <v>4.78</v>
      </c>
      <c r="H3732" t="s">
        <v>20</v>
      </c>
      <c r="I3732" s="1">
        <v>26.49</v>
      </c>
      <c r="J3732" s="1">
        <v>26</v>
      </c>
      <c r="K3732" t="s">
        <v>21</v>
      </c>
      <c r="L3732" s="1">
        <v>28.6</v>
      </c>
    </row>
    <row r="3733" spans="1:12">
      <c r="A3733" t="s">
        <v>3825</v>
      </c>
      <c r="B3733">
        <v>504224</v>
      </c>
      <c r="C3733" s="2" t="str">
        <f>"90012"</f>
        <v>90012</v>
      </c>
      <c r="D3733" t="s">
        <v>3835</v>
      </c>
      <c r="E3733" t="s">
        <v>4</v>
      </c>
      <c r="F3733">
        <v>9</v>
      </c>
      <c r="H3733" t="s">
        <v>5</v>
      </c>
      <c r="I3733" s="1">
        <v>110.5</v>
      </c>
      <c r="J3733" s="1">
        <v>110.5</v>
      </c>
      <c r="K3733" t="s">
        <v>6</v>
      </c>
    </row>
    <row r="3734" spans="1:12">
      <c r="A3734" t="s">
        <v>3825</v>
      </c>
      <c r="B3734">
        <v>476396</v>
      </c>
      <c r="C3734" s="2" t="str">
        <f>"90014"</f>
        <v>90014</v>
      </c>
      <c r="D3734" t="s">
        <v>3836</v>
      </c>
      <c r="E3734" t="s">
        <v>4</v>
      </c>
      <c r="F3734">
        <v>6</v>
      </c>
      <c r="G3734">
        <v>0.5</v>
      </c>
      <c r="H3734" t="s">
        <v>106</v>
      </c>
      <c r="I3734" s="1">
        <v>14.87</v>
      </c>
      <c r="J3734" s="1">
        <v>14.85</v>
      </c>
      <c r="K3734" t="s">
        <v>21</v>
      </c>
      <c r="L3734" s="1">
        <v>16.329999999999998</v>
      </c>
    </row>
    <row r="3735" spans="1:12">
      <c r="A3735" t="s">
        <v>3825</v>
      </c>
      <c r="B3735">
        <v>480922</v>
      </c>
      <c r="C3735" s="2" t="str">
        <f>"90030"</f>
        <v>90030</v>
      </c>
      <c r="D3735" t="s">
        <v>3837</v>
      </c>
      <c r="E3735" t="s">
        <v>4</v>
      </c>
      <c r="F3735">
        <v>8.6999999999999993</v>
      </c>
      <c r="G3735">
        <v>4.3499999999999996</v>
      </c>
      <c r="H3735" t="s">
        <v>175</v>
      </c>
      <c r="I3735" s="1">
        <v>42.39</v>
      </c>
      <c r="J3735" s="1">
        <v>41.6</v>
      </c>
      <c r="K3735" t="s">
        <v>457</v>
      </c>
      <c r="L3735" s="1">
        <v>45.76</v>
      </c>
    </row>
    <row r="3736" spans="1:12">
      <c r="A3736" t="s">
        <v>3825</v>
      </c>
      <c r="B3736">
        <v>480923</v>
      </c>
      <c r="C3736" s="2" t="str">
        <f>"90031"</f>
        <v>90031</v>
      </c>
      <c r="D3736" t="s">
        <v>3838</v>
      </c>
      <c r="E3736" t="s">
        <v>4</v>
      </c>
      <c r="F3736">
        <v>15.72</v>
      </c>
      <c r="G3736">
        <v>7.86</v>
      </c>
      <c r="H3736" t="s">
        <v>175</v>
      </c>
      <c r="I3736" s="1">
        <v>64.92</v>
      </c>
      <c r="J3736" s="1">
        <v>63.7</v>
      </c>
      <c r="K3736" t="s">
        <v>457</v>
      </c>
      <c r="L3736" s="1">
        <v>70.069999999999993</v>
      </c>
    </row>
    <row r="3737" spans="1:12">
      <c r="A3737" t="s">
        <v>3825</v>
      </c>
      <c r="B3737">
        <v>480925</v>
      </c>
      <c r="C3737" s="2" t="str">
        <f>"90032"</f>
        <v>90032</v>
      </c>
      <c r="D3737" t="s">
        <v>3839</v>
      </c>
      <c r="E3737" t="s">
        <v>4</v>
      </c>
      <c r="F3737">
        <v>1.1599999999999999</v>
      </c>
      <c r="G3737">
        <v>0.28999999999999998</v>
      </c>
      <c r="H3737" t="s">
        <v>153</v>
      </c>
      <c r="I3737" s="1">
        <v>13.52</v>
      </c>
      <c r="J3737" s="1">
        <v>13.26</v>
      </c>
      <c r="K3737" t="s">
        <v>1866</v>
      </c>
      <c r="L3737" s="1">
        <v>14.59</v>
      </c>
    </row>
    <row r="3738" spans="1:12">
      <c r="A3738" t="s">
        <v>3825</v>
      </c>
      <c r="B3738">
        <v>480921</v>
      </c>
      <c r="C3738" s="2" t="str">
        <f>"90033"</f>
        <v>90033</v>
      </c>
      <c r="D3738" t="s">
        <v>3840</v>
      </c>
      <c r="E3738" t="s">
        <v>4</v>
      </c>
      <c r="F3738">
        <v>30</v>
      </c>
      <c r="G3738">
        <v>15</v>
      </c>
      <c r="H3738" t="s">
        <v>175</v>
      </c>
      <c r="I3738" s="1">
        <v>59.62</v>
      </c>
      <c r="J3738" s="1">
        <v>58.5</v>
      </c>
      <c r="K3738" t="s">
        <v>457</v>
      </c>
      <c r="L3738" s="1">
        <v>64.349999999999994</v>
      </c>
    </row>
    <row r="3739" spans="1:12">
      <c r="A3739" t="s">
        <v>3825</v>
      </c>
      <c r="B3739">
        <v>537839</v>
      </c>
      <c r="C3739" s="2" t="str">
        <f>"90041"</f>
        <v>90041</v>
      </c>
      <c r="D3739" t="s">
        <v>3841</v>
      </c>
      <c r="E3739" t="s">
        <v>4</v>
      </c>
      <c r="F3739">
        <v>13.02</v>
      </c>
      <c r="G3739">
        <v>2.17</v>
      </c>
      <c r="H3739" t="s">
        <v>20</v>
      </c>
      <c r="I3739" s="1">
        <v>18.88</v>
      </c>
      <c r="J3739" s="1">
        <v>18.53</v>
      </c>
      <c r="K3739" t="s">
        <v>21</v>
      </c>
      <c r="L3739" s="1">
        <v>20.38</v>
      </c>
    </row>
    <row r="3740" spans="1:12">
      <c r="A3740" t="s">
        <v>3825</v>
      </c>
      <c r="B3740">
        <v>537843</v>
      </c>
      <c r="C3740" s="2" t="str">
        <f>"90042"</f>
        <v>90042</v>
      </c>
      <c r="D3740" t="s">
        <v>3842</v>
      </c>
      <c r="E3740" t="s">
        <v>4</v>
      </c>
      <c r="F3740">
        <v>12</v>
      </c>
      <c r="G3740">
        <v>2</v>
      </c>
      <c r="H3740" t="s">
        <v>20</v>
      </c>
      <c r="I3740" s="1">
        <v>23.86</v>
      </c>
      <c r="J3740" s="1">
        <v>23.4</v>
      </c>
      <c r="K3740" t="s">
        <v>21</v>
      </c>
      <c r="L3740" s="1">
        <v>25.74</v>
      </c>
    </row>
    <row r="3741" spans="1:12">
      <c r="A3741" t="s">
        <v>3825</v>
      </c>
      <c r="B3741">
        <v>537845</v>
      </c>
      <c r="C3741" s="2" t="str">
        <f>"90043"</f>
        <v>90043</v>
      </c>
      <c r="D3741" t="s">
        <v>3843</v>
      </c>
      <c r="E3741" t="s">
        <v>4</v>
      </c>
      <c r="F3741">
        <v>17</v>
      </c>
      <c r="G3741">
        <v>4.25</v>
      </c>
      <c r="H3741" t="s">
        <v>153</v>
      </c>
      <c r="I3741" s="1">
        <v>31.8</v>
      </c>
      <c r="J3741" s="1">
        <v>31.2</v>
      </c>
      <c r="K3741" t="s">
        <v>21</v>
      </c>
      <c r="L3741" s="1">
        <v>34.32</v>
      </c>
    </row>
    <row r="3742" spans="1:12">
      <c r="A3742" t="s">
        <v>3825</v>
      </c>
      <c r="B3742">
        <v>537846</v>
      </c>
      <c r="C3742" s="2" t="str">
        <f>"90060"</f>
        <v>90060</v>
      </c>
      <c r="D3742" t="s">
        <v>3844</v>
      </c>
      <c r="E3742" t="s">
        <v>4</v>
      </c>
      <c r="F3742">
        <v>25</v>
      </c>
      <c r="H3742" t="s">
        <v>5</v>
      </c>
      <c r="I3742" s="1">
        <v>135.94</v>
      </c>
      <c r="J3742" s="1">
        <v>133.38</v>
      </c>
      <c r="K3742" t="s">
        <v>6</v>
      </c>
    </row>
    <row r="3743" spans="1:12">
      <c r="A3743" t="s">
        <v>3825</v>
      </c>
      <c r="B3743">
        <v>560969</v>
      </c>
      <c r="C3743" s="2" t="str">
        <f>"90061"</f>
        <v>90061</v>
      </c>
      <c r="D3743" t="s">
        <v>3845</v>
      </c>
      <c r="E3743" t="s">
        <v>4</v>
      </c>
      <c r="F3743">
        <v>42</v>
      </c>
      <c r="H3743" t="s">
        <v>5</v>
      </c>
      <c r="I3743" s="1">
        <v>219.01</v>
      </c>
      <c r="J3743" s="1">
        <v>214.89</v>
      </c>
      <c r="K3743" t="s">
        <v>6</v>
      </c>
    </row>
    <row r="3744" spans="1:12">
      <c r="A3744" t="s">
        <v>3825</v>
      </c>
      <c r="B3744">
        <v>537847</v>
      </c>
      <c r="C3744" s="2" t="str">
        <f>"90062"</f>
        <v>90062</v>
      </c>
      <c r="D3744" t="s">
        <v>3846</v>
      </c>
      <c r="E3744" t="s">
        <v>4</v>
      </c>
      <c r="F3744">
        <v>15</v>
      </c>
      <c r="G3744">
        <v>2.5</v>
      </c>
      <c r="H3744" t="s">
        <v>20</v>
      </c>
      <c r="I3744" s="1">
        <v>66.25</v>
      </c>
      <c r="J3744" s="1">
        <v>65</v>
      </c>
      <c r="K3744" t="s">
        <v>21</v>
      </c>
      <c r="L3744" s="1">
        <v>71.5</v>
      </c>
    </row>
    <row r="3745" spans="1:12">
      <c r="A3745" t="s">
        <v>3825</v>
      </c>
      <c r="B3745">
        <v>537848</v>
      </c>
      <c r="C3745" s="2" t="str">
        <f>"90063"</f>
        <v>90063</v>
      </c>
      <c r="D3745" t="s">
        <v>3847</v>
      </c>
      <c r="E3745" t="s">
        <v>4</v>
      </c>
      <c r="F3745">
        <v>19.98</v>
      </c>
      <c r="G3745">
        <v>3.33</v>
      </c>
      <c r="H3745" t="s">
        <v>20</v>
      </c>
      <c r="I3745" s="1">
        <v>76.180000000000007</v>
      </c>
      <c r="J3745" s="1">
        <v>74.75</v>
      </c>
      <c r="K3745" t="s">
        <v>21</v>
      </c>
      <c r="L3745" s="1">
        <v>82.23</v>
      </c>
    </row>
    <row r="3746" spans="1:12">
      <c r="A3746" t="s">
        <v>3825</v>
      </c>
      <c r="B3746">
        <v>562861</v>
      </c>
      <c r="C3746" s="2" t="str">
        <f>"90068"</f>
        <v>90068</v>
      </c>
      <c r="D3746" t="s">
        <v>3848</v>
      </c>
      <c r="E3746" t="s">
        <v>4</v>
      </c>
      <c r="F3746">
        <v>66</v>
      </c>
      <c r="G3746">
        <v>11</v>
      </c>
      <c r="H3746" t="s">
        <v>20</v>
      </c>
      <c r="I3746" s="1">
        <v>25.17</v>
      </c>
      <c r="J3746" s="1">
        <v>24.7</v>
      </c>
      <c r="K3746" t="s">
        <v>21</v>
      </c>
      <c r="L3746" s="1">
        <v>27.17</v>
      </c>
    </row>
    <row r="3747" spans="1:12">
      <c r="A3747" t="s">
        <v>3825</v>
      </c>
      <c r="B3747">
        <v>562865</v>
      </c>
      <c r="C3747" s="2" t="str">
        <f>"90069"</f>
        <v>90069</v>
      </c>
      <c r="D3747" t="s">
        <v>3849</v>
      </c>
      <c r="E3747" t="s">
        <v>4</v>
      </c>
      <c r="F3747">
        <v>84</v>
      </c>
      <c r="G3747">
        <v>14</v>
      </c>
      <c r="H3747" t="s">
        <v>20</v>
      </c>
      <c r="I3747" s="1">
        <v>31.8</v>
      </c>
      <c r="J3747" s="1">
        <v>31.2</v>
      </c>
      <c r="K3747" t="s">
        <v>21</v>
      </c>
      <c r="L3747" s="1">
        <v>34.32</v>
      </c>
    </row>
    <row r="3748" spans="1:12">
      <c r="A3748" t="s">
        <v>3850</v>
      </c>
      <c r="B3748">
        <v>483515</v>
      </c>
      <c r="C3748" s="2" t="str">
        <f>"3303-12"</f>
        <v>3303-12</v>
      </c>
      <c r="D3748" t="s">
        <v>3851</v>
      </c>
      <c r="E3748" t="s">
        <v>4</v>
      </c>
      <c r="F3748">
        <v>6.48</v>
      </c>
      <c r="G3748">
        <v>1.08</v>
      </c>
      <c r="H3748" t="s">
        <v>20</v>
      </c>
      <c r="I3748" s="1">
        <v>18.2</v>
      </c>
      <c r="J3748" s="1">
        <v>17.059999999999999</v>
      </c>
      <c r="K3748" t="s">
        <v>21</v>
      </c>
      <c r="L3748" s="1">
        <v>18.77</v>
      </c>
    </row>
    <row r="3749" spans="1:12">
      <c r="A3749" t="s">
        <v>3850</v>
      </c>
      <c r="B3749">
        <v>483522</v>
      </c>
      <c r="C3749" s="2" t="str">
        <f>"3311-12"</f>
        <v>3311-12</v>
      </c>
      <c r="D3749" t="s">
        <v>3852</v>
      </c>
      <c r="E3749" t="s">
        <v>4</v>
      </c>
      <c r="F3749">
        <v>3.18</v>
      </c>
      <c r="G3749">
        <v>0.53</v>
      </c>
      <c r="H3749" t="s">
        <v>20</v>
      </c>
      <c r="I3749" s="1">
        <v>26</v>
      </c>
      <c r="J3749" s="1">
        <v>24.38</v>
      </c>
      <c r="K3749" t="s">
        <v>21</v>
      </c>
      <c r="L3749" s="1">
        <v>26.81</v>
      </c>
    </row>
    <row r="3750" spans="1:12">
      <c r="A3750" t="s">
        <v>3850</v>
      </c>
      <c r="B3750">
        <v>483507</v>
      </c>
      <c r="C3750" s="2" t="str">
        <f>"4688M"</f>
        <v>4688M</v>
      </c>
      <c r="D3750" t="s">
        <v>3853</v>
      </c>
      <c r="E3750" t="s">
        <v>4</v>
      </c>
      <c r="F3750">
        <v>6.84</v>
      </c>
      <c r="G3750">
        <v>1.1399999999999999</v>
      </c>
      <c r="H3750" t="s">
        <v>20</v>
      </c>
      <c r="I3750" s="1">
        <v>16.64</v>
      </c>
      <c r="J3750" s="1">
        <v>15.6</v>
      </c>
      <c r="K3750" t="s">
        <v>21</v>
      </c>
      <c r="L3750" s="1">
        <v>17.16</v>
      </c>
    </row>
    <row r="3751" spans="1:12">
      <c r="A3751" t="s">
        <v>3850</v>
      </c>
      <c r="B3751">
        <v>483508</v>
      </c>
      <c r="C3751" s="2" t="str">
        <f>"4689M"</f>
        <v>4689M</v>
      </c>
      <c r="D3751" t="s">
        <v>3854</v>
      </c>
      <c r="E3751" t="s">
        <v>4</v>
      </c>
      <c r="F3751">
        <v>7.02</v>
      </c>
      <c r="G3751">
        <v>1.17</v>
      </c>
      <c r="H3751" t="s">
        <v>20</v>
      </c>
      <c r="I3751" s="1">
        <v>18.2</v>
      </c>
      <c r="J3751" s="1">
        <v>17.059999999999999</v>
      </c>
      <c r="K3751" t="s">
        <v>21</v>
      </c>
      <c r="L3751" s="1">
        <v>18.77</v>
      </c>
    </row>
    <row r="3752" spans="1:12">
      <c r="A3752" t="s">
        <v>3850</v>
      </c>
      <c r="B3752">
        <v>483533</v>
      </c>
      <c r="C3752" s="2" t="str">
        <f>"5109-7GE"</f>
        <v>5109-7GE</v>
      </c>
      <c r="D3752" t="s">
        <v>3855</v>
      </c>
      <c r="E3752" t="s">
        <v>4</v>
      </c>
      <c r="F3752">
        <v>5.0999999999999996</v>
      </c>
      <c r="G3752">
        <v>0.85</v>
      </c>
      <c r="H3752" t="s">
        <v>20</v>
      </c>
      <c r="I3752" s="1">
        <v>41.08</v>
      </c>
      <c r="J3752" s="1">
        <v>38.51</v>
      </c>
      <c r="K3752" t="s">
        <v>21</v>
      </c>
      <c r="L3752" s="1">
        <v>42.36</v>
      </c>
    </row>
    <row r="3753" spans="1:12">
      <c r="A3753" t="s">
        <v>3850</v>
      </c>
      <c r="B3753">
        <v>483535</v>
      </c>
      <c r="C3753" s="2" t="str">
        <f>"5110-8"</f>
        <v>5110-8</v>
      </c>
      <c r="D3753" t="s">
        <v>3856</v>
      </c>
      <c r="E3753" t="s">
        <v>4</v>
      </c>
      <c r="F3753">
        <v>4.9800000000000004</v>
      </c>
      <c r="G3753">
        <v>0.83</v>
      </c>
      <c r="H3753" t="s">
        <v>20</v>
      </c>
      <c r="I3753" s="1">
        <v>32.24</v>
      </c>
      <c r="J3753" s="1">
        <v>30.23</v>
      </c>
      <c r="K3753" t="s">
        <v>21</v>
      </c>
      <c r="L3753" s="1">
        <v>33.25</v>
      </c>
    </row>
    <row r="3754" spans="1:12">
      <c r="A3754" t="s">
        <v>3850</v>
      </c>
      <c r="B3754">
        <v>483531</v>
      </c>
      <c r="C3754" s="2" t="str">
        <f>"5111-6"</f>
        <v>5111-6</v>
      </c>
      <c r="D3754" t="s">
        <v>3857</v>
      </c>
      <c r="E3754" t="s">
        <v>4</v>
      </c>
      <c r="F3754">
        <v>2.88</v>
      </c>
      <c r="G3754">
        <v>0.48</v>
      </c>
      <c r="H3754" t="s">
        <v>20</v>
      </c>
      <c r="I3754" s="1">
        <v>22.36</v>
      </c>
      <c r="J3754" s="1">
        <v>20.96</v>
      </c>
      <c r="K3754" t="s">
        <v>21</v>
      </c>
      <c r="L3754" s="1">
        <v>23.06</v>
      </c>
    </row>
    <row r="3755" spans="1:12">
      <c r="A3755" t="s">
        <v>3850</v>
      </c>
      <c r="B3755">
        <v>483532</v>
      </c>
      <c r="C3755" s="2" t="str">
        <f>"5112-7"</f>
        <v>5112-7</v>
      </c>
      <c r="D3755" t="s">
        <v>3858</v>
      </c>
      <c r="E3755" t="s">
        <v>4</v>
      </c>
      <c r="F3755">
        <v>3.78</v>
      </c>
      <c r="G3755">
        <v>0.63</v>
      </c>
      <c r="H3755" t="s">
        <v>20</v>
      </c>
      <c r="I3755" s="1">
        <v>24.44</v>
      </c>
      <c r="J3755" s="1">
        <v>22.91</v>
      </c>
      <c r="K3755" t="s">
        <v>21</v>
      </c>
      <c r="L3755" s="1">
        <v>25.2</v>
      </c>
    </row>
    <row r="3756" spans="1:12">
      <c r="A3756" t="s">
        <v>3850</v>
      </c>
      <c r="B3756">
        <v>483534</v>
      </c>
      <c r="C3756" s="2" t="str">
        <f>"5121-8E"</f>
        <v>5121-8E</v>
      </c>
      <c r="D3756" t="s">
        <v>3859</v>
      </c>
      <c r="E3756" t="s">
        <v>4</v>
      </c>
      <c r="F3756">
        <v>4.1399999999999997</v>
      </c>
      <c r="G3756">
        <v>0.69</v>
      </c>
      <c r="H3756" t="s">
        <v>20</v>
      </c>
      <c r="I3756" s="1">
        <v>27.56</v>
      </c>
      <c r="J3756" s="1">
        <v>25.84</v>
      </c>
      <c r="K3756" t="s">
        <v>21</v>
      </c>
      <c r="L3756" s="1">
        <v>28.42</v>
      </c>
    </row>
    <row r="3757" spans="1:12">
      <c r="A3757" t="s">
        <v>3850</v>
      </c>
      <c r="B3757">
        <v>483539</v>
      </c>
      <c r="C3757" s="2" t="str">
        <f>"5158"</f>
        <v>5158</v>
      </c>
      <c r="D3757" t="s">
        <v>3860</v>
      </c>
      <c r="E3757" t="s">
        <v>4</v>
      </c>
      <c r="F3757">
        <v>2.58</v>
      </c>
      <c r="G3757">
        <v>0.43</v>
      </c>
      <c r="H3757" t="s">
        <v>20</v>
      </c>
      <c r="I3757" s="1">
        <v>27.56</v>
      </c>
      <c r="J3757" s="1">
        <v>25.84</v>
      </c>
      <c r="K3757" t="s">
        <v>21</v>
      </c>
      <c r="L3757" s="1">
        <v>28.42</v>
      </c>
    </row>
    <row r="3758" spans="1:12">
      <c r="A3758" t="s">
        <v>3850</v>
      </c>
      <c r="B3758">
        <v>483521</v>
      </c>
      <c r="C3758" s="2" t="str">
        <f>"5518"</f>
        <v>5518</v>
      </c>
      <c r="D3758" t="s">
        <v>3861</v>
      </c>
      <c r="E3758" t="s">
        <v>4</v>
      </c>
      <c r="F3758">
        <v>9.18</v>
      </c>
      <c r="G3758">
        <v>1.53</v>
      </c>
      <c r="H3758" t="s">
        <v>20</v>
      </c>
      <c r="I3758" s="1">
        <v>11.8</v>
      </c>
      <c r="J3758" s="1">
        <v>11.07</v>
      </c>
      <c r="K3758" t="s">
        <v>21</v>
      </c>
      <c r="L3758" s="1">
        <v>12.17</v>
      </c>
    </row>
    <row r="3759" spans="1:12">
      <c r="A3759" t="s">
        <v>3850</v>
      </c>
      <c r="B3759">
        <v>483536</v>
      </c>
      <c r="C3759" s="2" t="str">
        <f>"BP5110-10"</f>
        <v>BP5110-10</v>
      </c>
      <c r="D3759" t="s">
        <v>3862</v>
      </c>
      <c r="E3759" t="s">
        <v>4</v>
      </c>
      <c r="F3759">
        <v>5.64</v>
      </c>
      <c r="G3759">
        <v>0.94</v>
      </c>
      <c r="H3759" t="s">
        <v>20</v>
      </c>
      <c r="I3759" s="1">
        <v>35.880000000000003</v>
      </c>
      <c r="J3759" s="1">
        <v>33.64</v>
      </c>
      <c r="K3759" t="s">
        <v>21</v>
      </c>
      <c r="L3759" s="1">
        <v>37</v>
      </c>
    </row>
    <row r="3760" spans="1:12">
      <c r="A3760" t="s">
        <v>3850</v>
      </c>
      <c r="B3760">
        <v>483540</v>
      </c>
      <c r="C3760" s="2" t="str">
        <f>"SCWH-9"</f>
        <v>SCWH-9</v>
      </c>
      <c r="D3760" t="s">
        <v>3863</v>
      </c>
      <c r="E3760" t="s">
        <v>4</v>
      </c>
      <c r="F3760">
        <v>0.75</v>
      </c>
      <c r="H3760" t="s">
        <v>5</v>
      </c>
      <c r="I3760" s="1">
        <v>33.28</v>
      </c>
      <c r="J3760" s="1">
        <v>31.2</v>
      </c>
      <c r="K3760" t="s">
        <v>6</v>
      </c>
    </row>
    <row r="3761" spans="1:12">
      <c r="A3761" t="s">
        <v>3850</v>
      </c>
      <c r="B3761">
        <v>483504</v>
      </c>
      <c r="C3761" s="2" t="str">
        <f>"W0547-4"</f>
        <v>W0547-4</v>
      </c>
      <c r="D3761" t="s">
        <v>3864</v>
      </c>
      <c r="E3761" t="s">
        <v>4</v>
      </c>
      <c r="F3761">
        <v>1.92</v>
      </c>
      <c r="G3761">
        <v>0.08</v>
      </c>
      <c r="H3761" t="s">
        <v>666</v>
      </c>
      <c r="I3761" s="1">
        <v>3.81</v>
      </c>
      <c r="J3761" s="1">
        <v>3.59</v>
      </c>
      <c r="K3761" t="s">
        <v>21</v>
      </c>
      <c r="L3761" s="1">
        <v>3.95</v>
      </c>
    </row>
    <row r="3762" spans="1:12">
      <c r="A3762" t="s">
        <v>3850</v>
      </c>
      <c r="B3762">
        <v>483495</v>
      </c>
      <c r="C3762" s="2" t="str">
        <f>"W0547-4E"</f>
        <v>W0547-4E</v>
      </c>
      <c r="D3762" t="s">
        <v>3865</v>
      </c>
      <c r="E3762" t="s">
        <v>4</v>
      </c>
      <c r="F3762">
        <v>1.92</v>
      </c>
      <c r="G3762">
        <v>0.08</v>
      </c>
      <c r="H3762" t="s">
        <v>666</v>
      </c>
      <c r="I3762" s="1">
        <v>3.59</v>
      </c>
      <c r="J3762" s="1">
        <v>3.36</v>
      </c>
      <c r="K3762" t="s">
        <v>21</v>
      </c>
      <c r="L3762" s="1">
        <v>3.7</v>
      </c>
    </row>
    <row r="3763" spans="1:12">
      <c r="A3763" t="s">
        <v>3850</v>
      </c>
      <c r="B3763">
        <v>483505</v>
      </c>
      <c r="C3763" s="2" t="str">
        <f>"W5601-3 1/4"</f>
        <v>W5601-3 1/4</v>
      </c>
      <c r="D3763" t="s">
        <v>3866</v>
      </c>
      <c r="E3763" t="s">
        <v>4</v>
      </c>
      <c r="F3763">
        <v>2.16</v>
      </c>
      <c r="G3763">
        <v>0.09</v>
      </c>
      <c r="H3763" t="s">
        <v>666</v>
      </c>
      <c r="I3763" s="1">
        <v>4</v>
      </c>
      <c r="J3763" s="1">
        <v>3.75</v>
      </c>
      <c r="K3763" t="s">
        <v>21</v>
      </c>
      <c r="L3763" s="1">
        <v>4.13</v>
      </c>
    </row>
    <row r="3764" spans="1:12">
      <c r="A3764" t="s">
        <v>3850</v>
      </c>
      <c r="B3764">
        <v>483485</v>
      </c>
      <c r="C3764" s="2" t="str">
        <f>"W5604-7GE"</f>
        <v>W5604-7GE</v>
      </c>
      <c r="D3764" t="s">
        <v>3867</v>
      </c>
      <c r="E3764" t="s">
        <v>4</v>
      </c>
      <c r="F3764">
        <v>3.12</v>
      </c>
      <c r="G3764">
        <v>0.52</v>
      </c>
      <c r="H3764" t="s">
        <v>20</v>
      </c>
      <c r="I3764" s="1">
        <v>21.32</v>
      </c>
      <c r="J3764" s="1">
        <v>19.989999999999998</v>
      </c>
      <c r="K3764" t="s">
        <v>21</v>
      </c>
      <c r="L3764" s="1">
        <v>21.99</v>
      </c>
    </row>
    <row r="3765" spans="1:12">
      <c r="A3765" t="s">
        <v>3850</v>
      </c>
      <c r="B3765">
        <v>483490</v>
      </c>
      <c r="C3765" s="2" t="str">
        <f>"W5607-6"</f>
        <v>W5607-6</v>
      </c>
      <c r="D3765" t="s">
        <v>3868</v>
      </c>
      <c r="E3765" t="s">
        <v>4</v>
      </c>
      <c r="F3765">
        <v>2.04</v>
      </c>
      <c r="G3765">
        <v>0.34</v>
      </c>
      <c r="H3765" t="s">
        <v>20</v>
      </c>
      <c r="I3765" s="1">
        <v>9.2100000000000009</v>
      </c>
      <c r="J3765" s="1">
        <v>8.6300000000000008</v>
      </c>
      <c r="K3765" t="s">
        <v>21</v>
      </c>
      <c r="L3765" s="1">
        <v>9.49</v>
      </c>
    </row>
    <row r="3766" spans="1:12">
      <c r="A3766" t="s">
        <v>3850</v>
      </c>
      <c r="B3766">
        <v>483502</v>
      </c>
      <c r="C3766" s="2" t="str">
        <f>"W5610-10"</f>
        <v>W5610-10</v>
      </c>
      <c r="D3766" t="s">
        <v>3869</v>
      </c>
      <c r="E3766" t="s">
        <v>4</v>
      </c>
      <c r="F3766">
        <v>4.26</v>
      </c>
      <c r="G3766">
        <v>0.71</v>
      </c>
      <c r="H3766" t="s">
        <v>20</v>
      </c>
      <c r="I3766" s="1">
        <v>19.760000000000002</v>
      </c>
      <c r="J3766" s="1">
        <v>18.53</v>
      </c>
      <c r="K3766" t="s">
        <v>21</v>
      </c>
      <c r="L3766" s="1">
        <v>20.38</v>
      </c>
    </row>
    <row r="3767" spans="1:12">
      <c r="A3767" t="s">
        <v>3850</v>
      </c>
      <c r="B3767">
        <v>483478</v>
      </c>
      <c r="C3767" s="2" t="str">
        <f>"W5610-10E"</f>
        <v>W5610-10E</v>
      </c>
      <c r="D3767" t="s">
        <v>3870</v>
      </c>
      <c r="E3767" t="s">
        <v>4</v>
      </c>
      <c r="F3767">
        <v>1.98</v>
      </c>
      <c r="G3767">
        <v>0.33</v>
      </c>
      <c r="H3767" t="s">
        <v>20</v>
      </c>
      <c r="I3767" s="1">
        <v>19.760000000000002</v>
      </c>
      <c r="J3767" s="1">
        <v>18.53</v>
      </c>
      <c r="K3767" t="s">
        <v>21</v>
      </c>
      <c r="L3767" s="1">
        <v>20.38</v>
      </c>
    </row>
    <row r="3768" spans="1:12">
      <c r="A3768" t="s">
        <v>3850</v>
      </c>
      <c r="B3768">
        <v>483493</v>
      </c>
      <c r="C3768" s="2" t="str">
        <f>"W5610-12"</f>
        <v>W5610-12</v>
      </c>
      <c r="D3768" t="s">
        <v>3871</v>
      </c>
      <c r="E3768" t="s">
        <v>4</v>
      </c>
      <c r="F3768">
        <v>4.9800000000000004</v>
      </c>
      <c r="G3768">
        <v>0.83</v>
      </c>
      <c r="H3768" t="s">
        <v>20</v>
      </c>
      <c r="I3768" s="1">
        <v>22.88</v>
      </c>
      <c r="J3768" s="1">
        <v>21.45</v>
      </c>
      <c r="K3768" t="s">
        <v>21</v>
      </c>
      <c r="L3768" s="1">
        <v>23.6</v>
      </c>
    </row>
    <row r="3769" spans="1:12">
      <c r="A3769" t="s">
        <v>3850</v>
      </c>
      <c r="B3769">
        <v>483501</v>
      </c>
      <c r="C3769" s="2" t="str">
        <f>"W5610-8"</f>
        <v>W5610-8</v>
      </c>
      <c r="D3769" t="s">
        <v>3872</v>
      </c>
      <c r="E3769" t="s">
        <v>4</v>
      </c>
      <c r="F3769">
        <v>3.3</v>
      </c>
      <c r="G3769">
        <v>0.55000000000000004</v>
      </c>
      <c r="H3769" t="s">
        <v>20</v>
      </c>
      <c r="I3769" s="1">
        <v>16.64</v>
      </c>
      <c r="J3769" s="1">
        <v>15.6</v>
      </c>
      <c r="K3769" t="s">
        <v>21</v>
      </c>
      <c r="L3769" s="1">
        <v>17.16</v>
      </c>
    </row>
    <row r="3770" spans="1:12">
      <c r="A3770" t="s">
        <v>3850</v>
      </c>
      <c r="B3770">
        <v>483476</v>
      </c>
      <c r="C3770" s="2" t="str">
        <f>"W5610-8E"</f>
        <v>W5610-8E</v>
      </c>
      <c r="D3770" t="s">
        <v>3873</v>
      </c>
      <c r="E3770" t="s">
        <v>4</v>
      </c>
      <c r="F3770">
        <v>3.54</v>
      </c>
      <c r="G3770">
        <v>0.59</v>
      </c>
      <c r="H3770" t="s">
        <v>20</v>
      </c>
      <c r="I3770" s="1">
        <v>16.64</v>
      </c>
      <c r="J3770" s="1">
        <v>15.6</v>
      </c>
      <c r="K3770" t="s">
        <v>21</v>
      </c>
      <c r="L3770" s="1">
        <v>17.16</v>
      </c>
    </row>
    <row r="3771" spans="1:12">
      <c r="A3771" t="s">
        <v>3850</v>
      </c>
      <c r="B3771">
        <v>483479</v>
      </c>
      <c r="C3771" s="2" t="str">
        <f>"W5613-8"</f>
        <v>W5613-8</v>
      </c>
      <c r="D3771" t="s">
        <v>3874</v>
      </c>
      <c r="E3771" t="s">
        <v>4</v>
      </c>
      <c r="F3771">
        <v>1.8</v>
      </c>
      <c r="G3771">
        <v>0.3</v>
      </c>
      <c r="H3771" t="s">
        <v>20</v>
      </c>
      <c r="I3771" s="1">
        <v>10.35</v>
      </c>
      <c r="J3771" s="1">
        <v>9.6999999999999993</v>
      </c>
      <c r="K3771" t="s">
        <v>21</v>
      </c>
      <c r="L3771" s="1">
        <v>10.67</v>
      </c>
    </row>
    <row r="3772" spans="1:12">
      <c r="A3772" t="s">
        <v>3850</v>
      </c>
      <c r="B3772">
        <v>483492</v>
      </c>
      <c r="C3772" s="2" t="str">
        <f>"W5614-6"</f>
        <v>W5614-6</v>
      </c>
      <c r="D3772" t="s">
        <v>3875</v>
      </c>
      <c r="E3772" t="s">
        <v>4</v>
      </c>
      <c r="F3772">
        <v>1.98</v>
      </c>
      <c r="G3772">
        <v>0.33</v>
      </c>
      <c r="H3772" t="s">
        <v>20</v>
      </c>
      <c r="I3772" s="1">
        <v>9.2100000000000009</v>
      </c>
      <c r="J3772" s="1">
        <v>8.6300000000000008</v>
      </c>
      <c r="K3772" t="s">
        <v>21</v>
      </c>
      <c r="L3772" s="1">
        <v>9.49</v>
      </c>
    </row>
    <row r="3773" spans="1:12">
      <c r="A3773" t="s">
        <v>3850</v>
      </c>
      <c r="B3773">
        <v>483471</v>
      </c>
      <c r="C3773" s="2" t="str">
        <f>"W5614-8"</f>
        <v>W5614-8</v>
      </c>
      <c r="D3773" t="s">
        <v>3876</v>
      </c>
      <c r="E3773" t="s">
        <v>4</v>
      </c>
      <c r="F3773">
        <v>2.1</v>
      </c>
      <c r="G3773">
        <v>0.35</v>
      </c>
      <c r="H3773" t="s">
        <v>20</v>
      </c>
      <c r="I3773" s="1">
        <v>10.35</v>
      </c>
      <c r="J3773" s="1">
        <v>9.6999999999999993</v>
      </c>
      <c r="K3773" t="s">
        <v>21</v>
      </c>
      <c r="L3773" s="1">
        <v>10.67</v>
      </c>
    </row>
    <row r="3774" spans="1:12">
      <c r="A3774" t="s">
        <v>3850</v>
      </c>
      <c r="B3774">
        <v>483496</v>
      </c>
      <c r="C3774" s="2" t="str">
        <f>"W5615-6 1/4"</f>
        <v>W5615-6 1/4</v>
      </c>
      <c r="D3774" t="s">
        <v>3877</v>
      </c>
      <c r="E3774" t="s">
        <v>4</v>
      </c>
      <c r="F3774">
        <v>1.98</v>
      </c>
      <c r="G3774">
        <v>0.33</v>
      </c>
      <c r="H3774" t="s">
        <v>20</v>
      </c>
      <c r="I3774" s="1">
        <v>9.2100000000000009</v>
      </c>
      <c r="J3774" s="1">
        <v>8.6300000000000008</v>
      </c>
      <c r="K3774" t="s">
        <v>21</v>
      </c>
      <c r="L3774" s="1">
        <v>9.49</v>
      </c>
    </row>
    <row r="3775" spans="1:12">
      <c r="A3775" t="s">
        <v>3850</v>
      </c>
      <c r="B3775">
        <v>483480</v>
      </c>
      <c r="C3775" s="2" t="str">
        <f>"W5617-10"</f>
        <v>W5617-10</v>
      </c>
      <c r="D3775" t="s">
        <v>3878</v>
      </c>
      <c r="E3775" t="s">
        <v>4</v>
      </c>
      <c r="F3775">
        <v>2.7</v>
      </c>
      <c r="G3775">
        <v>0.45</v>
      </c>
      <c r="H3775" t="s">
        <v>20</v>
      </c>
      <c r="I3775" s="1">
        <v>18.2</v>
      </c>
      <c r="J3775" s="1">
        <v>17.059999999999999</v>
      </c>
      <c r="K3775" t="s">
        <v>21</v>
      </c>
      <c r="L3775" s="1">
        <v>18.77</v>
      </c>
    </row>
    <row r="3776" spans="1:12">
      <c r="A3776" t="s">
        <v>3850</v>
      </c>
      <c r="B3776">
        <v>483477</v>
      </c>
      <c r="C3776" s="2" t="str">
        <f>"W5620-7E"</f>
        <v>W5620-7E</v>
      </c>
      <c r="D3776" t="s">
        <v>3879</v>
      </c>
      <c r="E3776" t="s">
        <v>4</v>
      </c>
      <c r="F3776">
        <v>2.2799999999999998</v>
      </c>
      <c r="G3776">
        <v>0.38</v>
      </c>
      <c r="H3776" t="s">
        <v>20</v>
      </c>
      <c r="I3776" s="1">
        <v>11.13</v>
      </c>
      <c r="J3776" s="1">
        <v>10.43</v>
      </c>
      <c r="K3776" t="s">
        <v>21</v>
      </c>
      <c r="L3776" s="1">
        <v>11.48</v>
      </c>
    </row>
    <row r="3777" spans="1:12">
      <c r="A3777" t="s">
        <v>3850</v>
      </c>
      <c r="B3777">
        <v>483499</v>
      </c>
      <c r="C3777" s="2" t="str">
        <f>"W5620-9E"</f>
        <v>W5620-9E</v>
      </c>
      <c r="D3777" t="s">
        <v>3880</v>
      </c>
      <c r="E3777" t="s">
        <v>4</v>
      </c>
      <c r="F3777">
        <v>2.46</v>
      </c>
      <c r="G3777">
        <v>0.41</v>
      </c>
      <c r="H3777" t="s">
        <v>20</v>
      </c>
      <c r="I3777" s="1">
        <v>12.32</v>
      </c>
      <c r="J3777" s="1">
        <v>11.55</v>
      </c>
      <c r="K3777" t="s">
        <v>21</v>
      </c>
      <c r="L3777" s="1">
        <v>12.71</v>
      </c>
    </row>
    <row r="3778" spans="1:12">
      <c r="A3778" t="s">
        <v>3850</v>
      </c>
      <c r="B3778">
        <v>483497</v>
      </c>
      <c r="C3778" s="2" t="str">
        <f>"W5621-10"</f>
        <v>W5621-10</v>
      </c>
      <c r="D3778" t="s">
        <v>3881</v>
      </c>
      <c r="E3778" t="s">
        <v>4</v>
      </c>
      <c r="F3778">
        <v>2.7</v>
      </c>
      <c r="G3778">
        <v>0.45</v>
      </c>
      <c r="H3778" t="s">
        <v>20</v>
      </c>
      <c r="I3778" s="1">
        <v>12.32</v>
      </c>
      <c r="J3778" s="1">
        <v>11.55</v>
      </c>
      <c r="K3778" t="s">
        <v>21</v>
      </c>
      <c r="L3778" s="1">
        <v>12.71</v>
      </c>
    </row>
    <row r="3779" spans="1:12">
      <c r="A3779" t="s">
        <v>3850</v>
      </c>
      <c r="B3779">
        <v>483494</v>
      </c>
      <c r="C3779" s="2" t="str">
        <f>"W5622-6E"</f>
        <v>W5622-6E</v>
      </c>
      <c r="D3779" t="s">
        <v>3882</v>
      </c>
      <c r="E3779" t="s">
        <v>4</v>
      </c>
      <c r="F3779">
        <v>1.44</v>
      </c>
      <c r="G3779">
        <v>0.24</v>
      </c>
      <c r="H3779" t="s">
        <v>20</v>
      </c>
      <c r="I3779" s="1">
        <v>8.42</v>
      </c>
      <c r="J3779" s="1">
        <v>7.9</v>
      </c>
      <c r="K3779" t="s">
        <v>21</v>
      </c>
      <c r="L3779" s="1">
        <v>8.69</v>
      </c>
    </row>
    <row r="3780" spans="1:12">
      <c r="A3780" t="s">
        <v>3850</v>
      </c>
      <c r="B3780">
        <v>483475</v>
      </c>
      <c r="C3780" s="2" t="str">
        <f>"W5625-10"</f>
        <v>W5625-10</v>
      </c>
      <c r="D3780" t="s">
        <v>3883</v>
      </c>
      <c r="E3780" t="s">
        <v>4</v>
      </c>
      <c r="F3780">
        <v>3.54</v>
      </c>
      <c r="G3780">
        <v>0.59</v>
      </c>
      <c r="H3780" t="s">
        <v>20</v>
      </c>
      <c r="I3780" s="1">
        <v>18.2</v>
      </c>
      <c r="J3780" s="1">
        <v>17.059999999999999</v>
      </c>
      <c r="K3780" t="s">
        <v>21</v>
      </c>
      <c r="L3780" s="1">
        <v>18.77</v>
      </c>
    </row>
    <row r="3781" spans="1:12">
      <c r="A3781" t="s">
        <v>3850</v>
      </c>
      <c r="B3781">
        <v>483482</v>
      </c>
      <c r="C3781" s="2" t="str">
        <f>"W5626-7 1/2"</f>
        <v>W5626-7 1/2</v>
      </c>
      <c r="D3781" t="s">
        <v>3884</v>
      </c>
      <c r="E3781" t="s">
        <v>4</v>
      </c>
      <c r="F3781">
        <v>2.2799999999999998</v>
      </c>
      <c r="G3781">
        <v>0.38</v>
      </c>
      <c r="H3781" t="s">
        <v>20</v>
      </c>
      <c r="I3781" s="1">
        <v>11.65</v>
      </c>
      <c r="J3781" s="1">
        <v>10.92</v>
      </c>
      <c r="K3781" t="s">
        <v>21</v>
      </c>
      <c r="L3781" s="1">
        <v>12.01</v>
      </c>
    </row>
    <row r="3782" spans="1:12">
      <c r="A3782" t="s">
        <v>3850</v>
      </c>
      <c r="B3782">
        <v>483503</v>
      </c>
      <c r="C3782" s="2" t="str">
        <f>"W5627-10E"</f>
        <v>W5627-10E</v>
      </c>
      <c r="D3782" t="s">
        <v>3885</v>
      </c>
      <c r="E3782" t="s">
        <v>4</v>
      </c>
      <c r="F3782">
        <v>2.52</v>
      </c>
      <c r="G3782">
        <v>0.42</v>
      </c>
      <c r="H3782" t="s">
        <v>20</v>
      </c>
      <c r="I3782" s="1">
        <v>12.32</v>
      </c>
      <c r="J3782" s="1">
        <v>11.55</v>
      </c>
      <c r="K3782" t="s">
        <v>21</v>
      </c>
      <c r="L3782" s="1">
        <v>12.71</v>
      </c>
    </row>
    <row r="3783" spans="1:12">
      <c r="A3783" t="s">
        <v>3850</v>
      </c>
      <c r="B3783">
        <v>483484</v>
      </c>
      <c r="C3783" s="2" t="str">
        <f>"W5627-12E"</f>
        <v>W5627-12E</v>
      </c>
      <c r="D3783" t="s">
        <v>3886</v>
      </c>
      <c r="E3783" t="s">
        <v>4</v>
      </c>
      <c r="F3783">
        <v>2.82</v>
      </c>
      <c r="G3783">
        <v>0.47</v>
      </c>
      <c r="H3783" t="s">
        <v>20</v>
      </c>
      <c r="I3783" s="1">
        <v>14.3</v>
      </c>
      <c r="J3783" s="1">
        <v>13.41</v>
      </c>
      <c r="K3783" t="s">
        <v>21</v>
      </c>
      <c r="L3783" s="1">
        <v>14.75</v>
      </c>
    </row>
    <row r="3784" spans="1:12">
      <c r="A3784" t="s">
        <v>3850</v>
      </c>
      <c r="B3784">
        <v>483474</v>
      </c>
      <c r="C3784" s="2" t="str">
        <f>"W5627-12GE"</f>
        <v>W5627-12GE</v>
      </c>
      <c r="D3784" t="s">
        <v>3887</v>
      </c>
      <c r="E3784" t="s">
        <v>4</v>
      </c>
      <c r="F3784">
        <v>2.58</v>
      </c>
      <c r="G3784">
        <v>0.43</v>
      </c>
      <c r="H3784" t="s">
        <v>20</v>
      </c>
      <c r="I3784" s="1">
        <v>17.68</v>
      </c>
      <c r="J3784" s="1">
        <v>16.579999999999998</v>
      </c>
      <c r="K3784" t="s">
        <v>21</v>
      </c>
      <c r="L3784" s="1">
        <v>18.23</v>
      </c>
    </row>
    <row r="3785" spans="1:12">
      <c r="A3785" t="s">
        <v>3850</v>
      </c>
      <c r="B3785">
        <v>483523</v>
      </c>
      <c r="C3785" s="2" t="str">
        <f>"W5650-6"</f>
        <v>W5650-6</v>
      </c>
      <c r="D3785" t="s">
        <v>3888</v>
      </c>
      <c r="E3785" t="s">
        <v>4</v>
      </c>
      <c r="F3785">
        <v>1.26</v>
      </c>
      <c r="G3785">
        <v>0.21</v>
      </c>
      <c r="H3785" t="s">
        <v>20</v>
      </c>
      <c r="I3785" s="1">
        <v>8.16</v>
      </c>
      <c r="J3785" s="1">
        <v>7.65</v>
      </c>
      <c r="K3785" t="s">
        <v>21</v>
      </c>
      <c r="L3785" s="1">
        <v>8.42</v>
      </c>
    </row>
    <row r="3786" spans="1:12">
      <c r="A3786" t="s">
        <v>3850</v>
      </c>
      <c r="B3786">
        <v>483516</v>
      </c>
      <c r="C3786" s="2" t="str">
        <f>"W5654-12"</f>
        <v>W5654-12</v>
      </c>
      <c r="D3786" t="s">
        <v>3889</v>
      </c>
      <c r="E3786" t="s">
        <v>4</v>
      </c>
      <c r="F3786">
        <v>1.74</v>
      </c>
      <c r="G3786">
        <v>0.28999999999999998</v>
      </c>
      <c r="H3786" t="s">
        <v>20</v>
      </c>
      <c r="I3786" s="1">
        <v>8.48</v>
      </c>
      <c r="J3786" s="1">
        <v>7.95</v>
      </c>
      <c r="K3786" t="s">
        <v>21</v>
      </c>
      <c r="L3786" s="1">
        <v>8.74</v>
      </c>
    </row>
    <row r="3787" spans="1:12">
      <c r="A3787" t="s">
        <v>3850</v>
      </c>
      <c r="B3787">
        <v>483506</v>
      </c>
      <c r="C3787" s="2" t="str">
        <f>"W5680-6 1/2"</f>
        <v>W5680-6 1/2</v>
      </c>
      <c r="D3787" t="s">
        <v>3890</v>
      </c>
      <c r="E3787" t="s">
        <v>4</v>
      </c>
      <c r="F3787">
        <v>7.98</v>
      </c>
      <c r="G3787">
        <v>1.33</v>
      </c>
      <c r="H3787" t="s">
        <v>20</v>
      </c>
      <c r="I3787" s="1">
        <v>20.28</v>
      </c>
      <c r="J3787" s="1">
        <v>19.010000000000002</v>
      </c>
      <c r="K3787" t="s">
        <v>21</v>
      </c>
      <c r="L3787" s="1">
        <v>20.91</v>
      </c>
    </row>
    <row r="3788" spans="1:12">
      <c r="A3788" t="s">
        <v>3850</v>
      </c>
      <c r="B3788">
        <v>483520</v>
      </c>
      <c r="C3788" s="2" t="str">
        <f>"W5681"</f>
        <v>W5681</v>
      </c>
      <c r="D3788" t="s">
        <v>3891</v>
      </c>
      <c r="E3788" t="s">
        <v>4</v>
      </c>
      <c r="F3788">
        <v>3.18</v>
      </c>
      <c r="G3788">
        <v>0.53</v>
      </c>
      <c r="H3788" t="s">
        <v>20</v>
      </c>
      <c r="I3788" s="1">
        <v>10.24</v>
      </c>
      <c r="J3788" s="1">
        <v>9.6</v>
      </c>
      <c r="K3788" t="s">
        <v>21</v>
      </c>
      <c r="L3788" s="1">
        <v>10.56</v>
      </c>
    </row>
    <row r="3789" spans="1:12">
      <c r="A3789" t="s">
        <v>3850</v>
      </c>
      <c r="B3789">
        <v>483527</v>
      </c>
      <c r="C3789" s="2" t="str">
        <f>"W5683"</f>
        <v>W5683</v>
      </c>
      <c r="D3789" t="s">
        <v>3892</v>
      </c>
      <c r="E3789" t="s">
        <v>4</v>
      </c>
      <c r="F3789">
        <v>3.42</v>
      </c>
      <c r="G3789">
        <v>0.56999999999999995</v>
      </c>
      <c r="H3789" t="s">
        <v>20</v>
      </c>
      <c r="I3789" s="1">
        <v>10.24</v>
      </c>
      <c r="J3789" s="1">
        <v>9.6</v>
      </c>
      <c r="K3789" t="s">
        <v>21</v>
      </c>
      <c r="L3789" s="1">
        <v>10.56</v>
      </c>
    </row>
    <row r="3790" spans="1:12">
      <c r="A3790" t="s">
        <v>3850</v>
      </c>
      <c r="B3790">
        <v>483524</v>
      </c>
      <c r="C3790" s="2" t="str">
        <f>"W5685"</f>
        <v>W5685</v>
      </c>
      <c r="D3790" t="s">
        <v>3893</v>
      </c>
      <c r="E3790" t="s">
        <v>4</v>
      </c>
      <c r="F3790">
        <v>2.94</v>
      </c>
      <c r="G3790">
        <v>0.49</v>
      </c>
      <c r="H3790" t="s">
        <v>20</v>
      </c>
      <c r="I3790" s="1">
        <v>9.8800000000000008</v>
      </c>
      <c r="J3790" s="1">
        <v>9.26</v>
      </c>
      <c r="K3790" t="s">
        <v>21</v>
      </c>
      <c r="L3790" s="1">
        <v>10.19</v>
      </c>
    </row>
    <row r="3791" spans="1:12">
      <c r="A3791" t="s">
        <v>3850</v>
      </c>
      <c r="B3791">
        <v>483514</v>
      </c>
      <c r="C3791" s="2" t="str">
        <f>"W5686"</f>
        <v>W5686</v>
      </c>
      <c r="D3791" t="s">
        <v>3894</v>
      </c>
      <c r="E3791" t="s">
        <v>4</v>
      </c>
      <c r="F3791">
        <v>3.18</v>
      </c>
      <c r="G3791">
        <v>0.53</v>
      </c>
      <c r="H3791" t="s">
        <v>20</v>
      </c>
      <c r="I3791" s="1">
        <v>10.82</v>
      </c>
      <c r="J3791" s="1">
        <v>10.14</v>
      </c>
      <c r="K3791" t="s">
        <v>21</v>
      </c>
      <c r="L3791" s="1">
        <v>11.15</v>
      </c>
    </row>
    <row r="3792" spans="1:12">
      <c r="A3792" t="s">
        <v>3850</v>
      </c>
      <c r="B3792">
        <v>483518</v>
      </c>
      <c r="C3792" s="2" t="str">
        <f>"W5687"</f>
        <v>W5687</v>
      </c>
      <c r="D3792" t="s">
        <v>3895</v>
      </c>
      <c r="E3792" t="s">
        <v>4</v>
      </c>
      <c r="F3792">
        <v>4.26</v>
      </c>
      <c r="G3792">
        <v>0.71</v>
      </c>
      <c r="H3792" t="s">
        <v>20</v>
      </c>
      <c r="I3792" s="1">
        <v>11.39</v>
      </c>
      <c r="J3792" s="1">
        <v>10.68</v>
      </c>
      <c r="K3792" t="s">
        <v>21</v>
      </c>
      <c r="L3792" s="1">
        <v>11.74</v>
      </c>
    </row>
    <row r="3793" spans="1:12">
      <c r="A3793" t="s">
        <v>3850</v>
      </c>
      <c r="B3793">
        <v>483526</v>
      </c>
      <c r="C3793" s="2" t="str">
        <f>"W5688-3 1/2"</f>
        <v>W5688-3 1/2</v>
      </c>
      <c r="D3793" t="s">
        <v>3896</v>
      </c>
      <c r="E3793" t="s">
        <v>4</v>
      </c>
      <c r="F3793">
        <v>1.2</v>
      </c>
      <c r="G3793">
        <v>0.2</v>
      </c>
      <c r="H3793" t="s">
        <v>20</v>
      </c>
      <c r="I3793" s="1">
        <v>2.91</v>
      </c>
      <c r="J3793" s="1">
        <v>2.73</v>
      </c>
      <c r="K3793" t="s">
        <v>21</v>
      </c>
      <c r="L3793" s="1">
        <v>3</v>
      </c>
    </row>
    <row r="3794" spans="1:12">
      <c r="A3794" t="s">
        <v>3850</v>
      </c>
      <c r="B3794">
        <v>483529</v>
      </c>
      <c r="C3794" s="2" t="str">
        <f>"W5688E-3 1/2"</f>
        <v>W5688E-3 1/2</v>
      </c>
      <c r="D3794" t="s">
        <v>3897</v>
      </c>
      <c r="E3794" t="s">
        <v>4</v>
      </c>
      <c r="F3794">
        <v>1.1399999999999999</v>
      </c>
      <c r="G3794">
        <v>0.19</v>
      </c>
      <c r="H3794" t="s">
        <v>20</v>
      </c>
      <c r="I3794" s="1">
        <v>2.91</v>
      </c>
      <c r="J3794" s="1">
        <v>2.73</v>
      </c>
      <c r="K3794" t="s">
        <v>21</v>
      </c>
      <c r="L3794" s="1">
        <v>3</v>
      </c>
    </row>
    <row r="3795" spans="1:12">
      <c r="A3795" t="s">
        <v>3850</v>
      </c>
      <c r="B3795">
        <v>483519</v>
      </c>
      <c r="C3795" s="2" t="str">
        <f>"W5689"</f>
        <v>W5689</v>
      </c>
      <c r="D3795" t="s">
        <v>3898</v>
      </c>
      <c r="E3795" t="s">
        <v>4</v>
      </c>
      <c r="F3795">
        <v>1.56</v>
      </c>
      <c r="G3795">
        <v>0.13</v>
      </c>
      <c r="H3795" t="s">
        <v>106</v>
      </c>
      <c r="I3795" s="1">
        <v>11.05</v>
      </c>
      <c r="J3795" s="1">
        <v>10.4</v>
      </c>
      <c r="K3795" t="s">
        <v>21</v>
      </c>
      <c r="L3795" s="1">
        <v>11.44</v>
      </c>
    </row>
    <row r="3796" spans="1:12">
      <c r="A3796" t="s">
        <v>3850</v>
      </c>
      <c r="B3796">
        <v>483525</v>
      </c>
      <c r="C3796" s="2" t="str">
        <f>"W5691-4"</f>
        <v>W5691-4</v>
      </c>
      <c r="D3796" t="s">
        <v>3899</v>
      </c>
      <c r="E3796" t="s">
        <v>4</v>
      </c>
      <c r="F3796">
        <v>3</v>
      </c>
      <c r="G3796">
        <v>0.5</v>
      </c>
      <c r="H3796" t="s">
        <v>20</v>
      </c>
      <c r="I3796" s="1">
        <v>14.56</v>
      </c>
      <c r="J3796" s="1">
        <v>13.65</v>
      </c>
      <c r="K3796" t="s">
        <v>21</v>
      </c>
      <c r="L3796" s="1">
        <v>15.02</v>
      </c>
    </row>
    <row r="3797" spans="1:12">
      <c r="A3797" t="s">
        <v>3850</v>
      </c>
      <c r="B3797">
        <v>483509</v>
      </c>
      <c r="C3797" s="2" t="str">
        <f>"W5692-3"</f>
        <v>W5692-3</v>
      </c>
      <c r="D3797" t="s">
        <v>3900</v>
      </c>
      <c r="E3797" t="s">
        <v>4</v>
      </c>
      <c r="F3797">
        <v>1.86</v>
      </c>
      <c r="G3797">
        <v>0.31</v>
      </c>
      <c r="H3797" t="s">
        <v>20</v>
      </c>
      <c r="I3797" s="1">
        <v>8.32</v>
      </c>
      <c r="J3797" s="1">
        <v>7.8</v>
      </c>
      <c r="K3797" t="s">
        <v>21</v>
      </c>
      <c r="L3797" s="1">
        <v>8.58</v>
      </c>
    </row>
    <row r="3798" spans="1:12">
      <c r="A3798" t="s">
        <v>3850</v>
      </c>
      <c r="B3798">
        <v>483510</v>
      </c>
      <c r="C3798" s="2" t="str">
        <f>"W5692-4"</f>
        <v>W5692-4</v>
      </c>
      <c r="D3798" t="s">
        <v>3901</v>
      </c>
      <c r="E3798" t="s">
        <v>4</v>
      </c>
      <c r="F3798">
        <v>2.7</v>
      </c>
      <c r="G3798">
        <v>0.45</v>
      </c>
      <c r="H3798" t="s">
        <v>20</v>
      </c>
      <c r="I3798" s="1">
        <v>9.1999999999999993</v>
      </c>
      <c r="J3798" s="1">
        <v>8.6300000000000008</v>
      </c>
      <c r="K3798" t="s">
        <v>21</v>
      </c>
      <c r="L3798" s="1">
        <v>9.49</v>
      </c>
    </row>
    <row r="3799" spans="1:12">
      <c r="A3799" t="s">
        <v>3850</v>
      </c>
      <c r="B3799">
        <v>483517</v>
      </c>
      <c r="C3799" s="2" t="str">
        <f>"W5694"</f>
        <v>W5694</v>
      </c>
      <c r="D3799" t="s">
        <v>3902</v>
      </c>
      <c r="E3799" t="s">
        <v>4</v>
      </c>
      <c r="F3799">
        <v>1.98</v>
      </c>
      <c r="G3799">
        <v>0.33</v>
      </c>
      <c r="H3799" t="s">
        <v>20</v>
      </c>
      <c r="I3799" s="1">
        <v>7.44</v>
      </c>
      <c r="J3799" s="1">
        <v>6.97</v>
      </c>
      <c r="K3799" t="s">
        <v>21</v>
      </c>
      <c r="L3799" s="1">
        <v>7.67</v>
      </c>
    </row>
    <row r="3800" spans="1:12">
      <c r="A3800" t="s">
        <v>3850</v>
      </c>
      <c r="B3800">
        <v>483511</v>
      </c>
      <c r="C3800" s="2" t="str">
        <f>"W5695"</f>
        <v>W5695</v>
      </c>
      <c r="D3800" t="s">
        <v>3903</v>
      </c>
      <c r="E3800" t="s">
        <v>4</v>
      </c>
      <c r="F3800">
        <v>2.2200000000000002</v>
      </c>
      <c r="G3800">
        <v>0.37</v>
      </c>
      <c r="H3800" t="s">
        <v>20</v>
      </c>
      <c r="I3800" s="1">
        <v>8.16</v>
      </c>
      <c r="J3800" s="1">
        <v>7.65</v>
      </c>
      <c r="K3800" t="s">
        <v>21</v>
      </c>
      <c r="L3800" s="1">
        <v>8.42</v>
      </c>
    </row>
    <row r="3801" spans="1:12">
      <c r="A3801" t="s">
        <v>3850</v>
      </c>
      <c r="B3801">
        <v>483528</v>
      </c>
      <c r="C3801" s="2" t="str">
        <f>"W5697"</f>
        <v>W5697</v>
      </c>
      <c r="D3801" t="s">
        <v>3904</v>
      </c>
      <c r="E3801" t="s">
        <v>4</v>
      </c>
      <c r="F3801">
        <v>3.24</v>
      </c>
      <c r="G3801">
        <v>0.54</v>
      </c>
      <c r="H3801" t="s">
        <v>20</v>
      </c>
      <c r="I3801" s="1">
        <v>7.96</v>
      </c>
      <c r="J3801" s="1">
        <v>7.46</v>
      </c>
      <c r="K3801" t="s">
        <v>21</v>
      </c>
      <c r="L3801" s="1">
        <v>8.1999999999999993</v>
      </c>
    </row>
    <row r="3802" spans="1:12">
      <c r="A3802" t="s">
        <v>3850</v>
      </c>
      <c r="B3802">
        <v>483513</v>
      </c>
      <c r="C3802" s="2" t="str">
        <f>"W656"</f>
        <v>W656</v>
      </c>
      <c r="D3802" t="s">
        <v>3905</v>
      </c>
      <c r="E3802" t="s">
        <v>4</v>
      </c>
      <c r="F3802">
        <v>3</v>
      </c>
      <c r="G3802">
        <v>0.5</v>
      </c>
      <c r="H3802" t="s">
        <v>20</v>
      </c>
      <c r="I3802" s="1">
        <v>7.8</v>
      </c>
      <c r="J3802" s="1">
        <v>7.31</v>
      </c>
      <c r="K3802" t="s">
        <v>21</v>
      </c>
      <c r="L3802" s="1">
        <v>8.0399999999999991</v>
      </c>
    </row>
    <row r="3803" spans="1:12">
      <c r="A3803" t="s">
        <v>3906</v>
      </c>
      <c r="B3803">
        <v>369437</v>
      </c>
      <c r="C3803" s="2" t="str">
        <f>"101SP"</f>
        <v>101SP</v>
      </c>
      <c r="D3803" t="s">
        <v>3907</v>
      </c>
      <c r="E3803" t="s">
        <v>4</v>
      </c>
      <c r="F3803">
        <v>18</v>
      </c>
      <c r="H3803" t="s">
        <v>5</v>
      </c>
      <c r="I3803" s="1">
        <v>40.56</v>
      </c>
      <c r="J3803" s="1">
        <v>39.75</v>
      </c>
      <c r="K3803" t="s">
        <v>6</v>
      </c>
    </row>
    <row r="3804" spans="1:12">
      <c r="A3804" t="s">
        <v>3906</v>
      </c>
      <c r="B3804">
        <v>466493</v>
      </c>
      <c r="C3804" s="2" t="str">
        <f>"104-50"</f>
        <v>104-50</v>
      </c>
      <c r="D3804" t="s">
        <v>3908</v>
      </c>
      <c r="E3804" t="s">
        <v>4</v>
      </c>
      <c r="F3804">
        <v>12</v>
      </c>
      <c r="H3804" t="s">
        <v>5</v>
      </c>
      <c r="I3804" s="1">
        <v>28.99</v>
      </c>
      <c r="J3804" s="1">
        <v>28.41</v>
      </c>
      <c r="K3804" t="s">
        <v>6</v>
      </c>
    </row>
    <row r="3805" spans="1:12">
      <c r="A3805" t="s">
        <v>3906</v>
      </c>
      <c r="B3805">
        <v>467025</v>
      </c>
      <c r="C3805" s="2" t="str">
        <f>"105"</f>
        <v>105</v>
      </c>
      <c r="D3805" t="s">
        <v>3909</v>
      </c>
      <c r="E3805" t="s">
        <v>4</v>
      </c>
      <c r="F3805">
        <v>18.5</v>
      </c>
      <c r="H3805" t="s">
        <v>5</v>
      </c>
      <c r="I3805" s="1">
        <v>28.99</v>
      </c>
      <c r="J3805" s="1">
        <v>28.41</v>
      </c>
      <c r="K3805" t="s">
        <v>6</v>
      </c>
    </row>
    <row r="3806" spans="1:12">
      <c r="A3806" t="s">
        <v>3906</v>
      </c>
      <c r="B3806">
        <v>466499</v>
      </c>
      <c r="C3806" s="2" t="str">
        <f>"108-50"</f>
        <v>108-50</v>
      </c>
      <c r="D3806" t="s">
        <v>3910</v>
      </c>
      <c r="E3806" t="s">
        <v>4</v>
      </c>
      <c r="F3806">
        <v>12</v>
      </c>
      <c r="H3806" t="s">
        <v>5</v>
      </c>
      <c r="I3806" s="1">
        <v>48.88</v>
      </c>
      <c r="J3806" s="1">
        <v>47.9</v>
      </c>
      <c r="K3806" t="s">
        <v>6</v>
      </c>
    </row>
    <row r="3807" spans="1:12">
      <c r="A3807" t="s">
        <v>3906</v>
      </c>
      <c r="B3807">
        <v>466501</v>
      </c>
      <c r="C3807" s="2" t="str">
        <f>"110SW"</f>
        <v>110SW</v>
      </c>
      <c r="D3807" t="s">
        <v>3911</v>
      </c>
      <c r="E3807" t="s">
        <v>4</v>
      </c>
      <c r="F3807">
        <v>16</v>
      </c>
      <c r="H3807" t="s">
        <v>5</v>
      </c>
      <c r="I3807" s="1">
        <v>78.91</v>
      </c>
      <c r="J3807" s="1">
        <v>77.33</v>
      </c>
      <c r="K3807" t="s">
        <v>6</v>
      </c>
    </row>
    <row r="3808" spans="1:12">
      <c r="A3808" t="s">
        <v>3906</v>
      </c>
      <c r="B3808">
        <v>412445</v>
      </c>
      <c r="C3808" s="2" t="str">
        <f>"11A-SP"</f>
        <v>11A-SP</v>
      </c>
      <c r="D3808" t="s">
        <v>3912</v>
      </c>
      <c r="E3808" t="s">
        <v>4</v>
      </c>
      <c r="F3808">
        <v>16</v>
      </c>
      <c r="H3808" t="s">
        <v>5</v>
      </c>
      <c r="I3808" s="1">
        <v>78.91</v>
      </c>
      <c r="J3808" s="1">
        <v>77.33</v>
      </c>
      <c r="K3808" t="s">
        <v>6</v>
      </c>
    </row>
    <row r="3809" spans="1:11">
      <c r="A3809" t="s">
        <v>3906</v>
      </c>
      <c r="B3809">
        <v>372498</v>
      </c>
      <c r="C3809" s="2" t="str">
        <f>"1200SP"</f>
        <v>1200SP</v>
      </c>
      <c r="D3809" t="s">
        <v>3913</v>
      </c>
      <c r="E3809" t="s">
        <v>4</v>
      </c>
      <c r="F3809">
        <v>22</v>
      </c>
      <c r="H3809" t="s">
        <v>5</v>
      </c>
      <c r="I3809" s="1">
        <v>53.3</v>
      </c>
      <c r="J3809" s="1">
        <v>52.23</v>
      </c>
      <c r="K3809" t="s">
        <v>6</v>
      </c>
    </row>
    <row r="3810" spans="1:11">
      <c r="A3810" t="s">
        <v>3906</v>
      </c>
      <c r="B3810">
        <v>466509</v>
      </c>
      <c r="C3810" s="2" t="str">
        <f>"1225-130SP"</f>
        <v>1225-130SP</v>
      </c>
      <c r="D3810" t="s">
        <v>3914</v>
      </c>
      <c r="E3810" t="s">
        <v>4</v>
      </c>
      <c r="F3810">
        <v>12</v>
      </c>
      <c r="H3810" t="s">
        <v>5</v>
      </c>
      <c r="I3810" s="1">
        <v>16.84</v>
      </c>
      <c r="J3810" s="1">
        <v>16.84</v>
      </c>
      <c r="K3810" t="s">
        <v>6</v>
      </c>
    </row>
    <row r="3811" spans="1:11">
      <c r="A3811" t="s">
        <v>3906</v>
      </c>
      <c r="B3811">
        <v>412455</v>
      </c>
      <c r="C3811" s="2" t="str">
        <f>"1225SP"</f>
        <v>1225SP</v>
      </c>
      <c r="D3811" t="s">
        <v>3915</v>
      </c>
      <c r="E3811" t="s">
        <v>4</v>
      </c>
      <c r="F3811">
        <v>16</v>
      </c>
      <c r="H3811" t="s">
        <v>5</v>
      </c>
      <c r="I3811" s="1">
        <v>21.71</v>
      </c>
      <c r="J3811" s="1">
        <v>21.71</v>
      </c>
      <c r="K3811" t="s">
        <v>6</v>
      </c>
    </row>
    <row r="3812" spans="1:11">
      <c r="A3812" t="s">
        <v>3906</v>
      </c>
      <c r="B3812">
        <v>469818</v>
      </c>
      <c r="C3812" s="2" t="str">
        <f>"1275-165"</f>
        <v>1275-165</v>
      </c>
      <c r="D3812" t="s">
        <v>3916</v>
      </c>
      <c r="E3812" t="s">
        <v>4</v>
      </c>
      <c r="F3812">
        <v>23</v>
      </c>
      <c r="H3812" t="s">
        <v>5</v>
      </c>
      <c r="I3812" s="1">
        <v>29.84</v>
      </c>
      <c r="J3812" s="1">
        <v>29.84</v>
      </c>
      <c r="K3812" t="s">
        <v>6</v>
      </c>
    </row>
    <row r="3813" spans="1:11">
      <c r="A3813" t="s">
        <v>3906</v>
      </c>
      <c r="B3813">
        <v>466502</v>
      </c>
      <c r="C3813" s="2" t="str">
        <f>"12A"</f>
        <v>12A</v>
      </c>
      <c r="D3813" t="s">
        <v>3917</v>
      </c>
      <c r="E3813" t="s">
        <v>4</v>
      </c>
      <c r="F3813">
        <v>18</v>
      </c>
      <c r="H3813" t="s">
        <v>5</v>
      </c>
      <c r="I3813" s="1">
        <v>32.5</v>
      </c>
      <c r="J3813" s="1">
        <v>31.85</v>
      </c>
      <c r="K3813" t="s">
        <v>6</v>
      </c>
    </row>
    <row r="3814" spans="1:11">
      <c r="A3814" t="s">
        <v>3906</v>
      </c>
      <c r="B3814">
        <v>467020</v>
      </c>
      <c r="C3814" s="2" t="str">
        <f>"12A-SP"</f>
        <v>12A-SP</v>
      </c>
      <c r="D3814" t="s">
        <v>3918</v>
      </c>
      <c r="E3814" t="s">
        <v>4</v>
      </c>
      <c r="F3814">
        <v>17</v>
      </c>
      <c r="H3814" t="s">
        <v>5</v>
      </c>
      <c r="I3814" s="1">
        <v>34.65</v>
      </c>
      <c r="J3814" s="1">
        <v>33.950000000000003</v>
      </c>
      <c r="K3814" t="s">
        <v>6</v>
      </c>
    </row>
    <row r="3815" spans="1:11">
      <c r="A3815" t="s">
        <v>3906</v>
      </c>
      <c r="B3815">
        <v>470185</v>
      </c>
      <c r="C3815" s="2" t="str">
        <f>"1300-165"</f>
        <v>1300-165</v>
      </c>
      <c r="D3815" t="s">
        <v>3919</v>
      </c>
      <c r="E3815" t="s">
        <v>4</v>
      </c>
      <c r="F3815">
        <v>25</v>
      </c>
      <c r="H3815" t="s">
        <v>5</v>
      </c>
      <c r="I3815" s="1">
        <v>31.85</v>
      </c>
      <c r="J3815" s="1">
        <v>31.85</v>
      </c>
      <c r="K3815" t="s">
        <v>6</v>
      </c>
    </row>
    <row r="3816" spans="1:11">
      <c r="A3816" t="s">
        <v>3906</v>
      </c>
      <c r="B3816">
        <v>472152</v>
      </c>
      <c r="C3816" s="2" t="str">
        <f>"1300-165C"</f>
        <v>1300-165C</v>
      </c>
      <c r="D3816" t="s">
        <v>3920</v>
      </c>
      <c r="E3816" t="s">
        <v>4</v>
      </c>
      <c r="F3816">
        <v>25</v>
      </c>
      <c r="H3816" t="s">
        <v>5</v>
      </c>
      <c r="I3816" s="1">
        <v>43.49</v>
      </c>
      <c r="J3816" s="1">
        <v>43.49</v>
      </c>
      <c r="K3816" t="s">
        <v>6</v>
      </c>
    </row>
    <row r="3817" spans="1:11">
      <c r="A3817" t="s">
        <v>3906</v>
      </c>
      <c r="B3817">
        <v>412456</v>
      </c>
      <c r="C3817" s="2" t="str">
        <f>"1300SP"</f>
        <v>1300SP</v>
      </c>
      <c r="D3817" t="s">
        <v>3921</v>
      </c>
      <c r="E3817" t="s">
        <v>4</v>
      </c>
      <c r="F3817">
        <v>15</v>
      </c>
      <c r="H3817" t="s">
        <v>5</v>
      </c>
      <c r="I3817" s="1">
        <v>22.56</v>
      </c>
      <c r="J3817" s="1">
        <v>22.56</v>
      </c>
      <c r="K3817" t="s">
        <v>6</v>
      </c>
    </row>
    <row r="3818" spans="1:11">
      <c r="A3818" t="s">
        <v>3906</v>
      </c>
      <c r="B3818">
        <v>412457</v>
      </c>
      <c r="C3818" s="2" t="str">
        <f>"1381SP"</f>
        <v>1381SP</v>
      </c>
      <c r="D3818" t="s">
        <v>3922</v>
      </c>
      <c r="E3818" t="s">
        <v>4</v>
      </c>
      <c r="F3818">
        <v>13</v>
      </c>
      <c r="H3818" t="s">
        <v>5</v>
      </c>
      <c r="I3818" s="1">
        <v>21.32</v>
      </c>
      <c r="J3818" s="1">
        <v>21.32</v>
      </c>
      <c r="K3818" t="s">
        <v>6</v>
      </c>
    </row>
    <row r="3819" spans="1:11">
      <c r="A3819" t="s">
        <v>3906</v>
      </c>
      <c r="B3819">
        <v>466507</v>
      </c>
      <c r="C3819" s="2" t="str">
        <f>"1441-130SP"</f>
        <v>1441-130SP</v>
      </c>
      <c r="D3819" t="s">
        <v>3923</v>
      </c>
      <c r="E3819" t="s">
        <v>4</v>
      </c>
      <c r="F3819">
        <v>12</v>
      </c>
      <c r="H3819" t="s">
        <v>5</v>
      </c>
      <c r="I3819" s="1">
        <v>17.62</v>
      </c>
      <c r="J3819" s="1">
        <v>17.62</v>
      </c>
      <c r="K3819" t="s">
        <v>6</v>
      </c>
    </row>
    <row r="3820" spans="1:11">
      <c r="A3820" t="s">
        <v>3906</v>
      </c>
      <c r="B3820">
        <v>412458</v>
      </c>
      <c r="C3820" s="2" t="str">
        <f>"1441SP"</f>
        <v>1441SP</v>
      </c>
      <c r="D3820" t="s">
        <v>3924</v>
      </c>
      <c r="E3820" t="s">
        <v>4</v>
      </c>
      <c r="F3820">
        <v>16</v>
      </c>
      <c r="H3820" t="s">
        <v>5</v>
      </c>
      <c r="I3820" s="1">
        <v>22.69</v>
      </c>
      <c r="J3820" s="1">
        <v>22.69</v>
      </c>
      <c r="K3820" t="s">
        <v>6</v>
      </c>
    </row>
    <row r="3821" spans="1:11">
      <c r="A3821" t="s">
        <v>3906</v>
      </c>
      <c r="B3821">
        <v>466999</v>
      </c>
      <c r="C3821" s="2" t="str">
        <f>"1A-SP"</f>
        <v>1A-SP</v>
      </c>
      <c r="D3821" t="s">
        <v>3925</v>
      </c>
      <c r="E3821" t="s">
        <v>4</v>
      </c>
      <c r="F3821">
        <v>18</v>
      </c>
      <c r="H3821" t="s">
        <v>5</v>
      </c>
      <c r="I3821" s="1">
        <v>41.41</v>
      </c>
      <c r="J3821" s="1">
        <v>40.58</v>
      </c>
      <c r="K3821" t="s">
        <v>6</v>
      </c>
    </row>
    <row r="3822" spans="1:11">
      <c r="A3822" t="s">
        <v>3906</v>
      </c>
      <c r="B3822">
        <v>466479</v>
      </c>
      <c r="C3822" s="2" t="str">
        <f>"210"</f>
        <v>210</v>
      </c>
      <c r="D3822" t="s">
        <v>3926</v>
      </c>
      <c r="E3822" t="s">
        <v>4</v>
      </c>
      <c r="F3822">
        <v>17</v>
      </c>
      <c r="H3822" t="s">
        <v>5</v>
      </c>
      <c r="I3822" s="1">
        <v>32.5</v>
      </c>
      <c r="J3822" s="1">
        <v>31.85</v>
      </c>
      <c r="K3822" t="s">
        <v>6</v>
      </c>
    </row>
    <row r="3823" spans="1:11">
      <c r="A3823" t="s">
        <v>3906</v>
      </c>
      <c r="B3823">
        <v>412459</v>
      </c>
      <c r="C3823" s="2" t="str">
        <f>"2225SP"</f>
        <v>2225SP</v>
      </c>
      <c r="D3823" t="s">
        <v>3927</v>
      </c>
      <c r="E3823" t="s">
        <v>4</v>
      </c>
      <c r="F3823">
        <v>18</v>
      </c>
      <c r="H3823" t="s">
        <v>5</v>
      </c>
      <c r="I3823" s="1">
        <v>40.17</v>
      </c>
      <c r="J3823" s="1">
        <v>40.17</v>
      </c>
      <c r="K3823" t="s">
        <v>6</v>
      </c>
    </row>
    <row r="3824" spans="1:11">
      <c r="A3824" t="s">
        <v>3906</v>
      </c>
      <c r="B3824">
        <v>470635</v>
      </c>
      <c r="C3824" s="2" t="str">
        <f>"2300-90"</f>
        <v>2300-90</v>
      </c>
      <c r="D3824" t="s">
        <v>3928</v>
      </c>
      <c r="E3824" t="s">
        <v>4</v>
      </c>
      <c r="F3824">
        <v>23</v>
      </c>
      <c r="H3824" t="s">
        <v>5</v>
      </c>
      <c r="I3824" s="1">
        <v>50.9</v>
      </c>
      <c r="J3824" s="1">
        <v>50.9</v>
      </c>
      <c r="K3824" t="s">
        <v>6</v>
      </c>
    </row>
    <row r="3825" spans="1:11">
      <c r="A3825" t="s">
        <v>3906</v>
      </c>
      <c r="B3825">
        <v>412460</v>
      </c>
      <c r="C3825" s="2" t="str">
        <f>"2300SP"</f>
        <v>2300SP</v>
      </c>
      <c r="D3825" t="s">
        <v>3929</v>
      </c>
      <c r="E3825" t="s">
        <v>4</v>
      </c>
      <c r="F3825">
        <v>19</v>
      </c>
      <c r="H3825" t="s">
        <v>5</v>
      </c>
      <c r="I3825" s="1">
        <v>39.590000000000003</v>
      </c>
      <c r="J3825" s="1">
        <v>39.590000000000003</v>
      </c>
      <c r="K3825" t="s">
        <v>6</v>
      </c>
    </row>
    <row r="3826" spans="1:11">
      <c r="A3826" t="s">
        <v>3906</v>
      </c>
      <c r="B3826">
        <v>466478</v>
      </c>
      <c r="C3826" s="2" t="str">
        <f>"240-50"</f>
        <v>240-50</v>
      </c>
      <c r="D3826" t="s">
        <v>3930</v>
      </c>
      <c r="E3826" t="s">
        <v>4</v>
      </c>
      <c r="F3826">
        <v>11</v>
      </c>
      <c r="H3826" t="s">
        <v>5</v>
      </c>
      <c r="I3826" s="1">
        <v>28.08</v>
      </c>
      <c r="J3826" s="1">
        <v>27.52</v>
      </c>
      <c r="K3826" t="s">
        <v>6</v>
      </c>
    </row>
    <row r="3827" spans="1:11">
      <c r="A3827" t="s">
        <v>3906</v>
      </c>
      <c r="B3827">
        <v>469888</v>
      </c>
      <c r="C3827" s="2" t="str">
        <f>"2433-95"</f>
        <v>2433-95</v>
      </c>
      <c r="D3827" t="s">
        <v>3931</v>
      </c>
      <c r="E3827" t="s">
        <v>4</v>
      </c>
      <c r="F3827">
        <v>0.65</v>
      </c>
      <c r="H3827" t="s">
        <v>5</v>
      </c>
      <c r="I3827" s="1">
        <v>26.26</v>
      </c>
      <c r="J3827" s="1">
        <v>26.26</v>
      </c>
      <c r="K3827" t="s">
        <v>6</v>
      </c>
    </row>
    <row r="3828" spans="1:11">
      <c r="A3828" t="s">
        <v>3906</v>
      </c>
      <c r="B3828">
        <v>467037</v>
      </c>
      <c r="C3828" s="2" t="str">
        <f>"301SP"</f>
        <v>301SP</v>
      </c>
      <c r="D3828" t="s">
        <v>3932</v>
      </c>
      <c r="E3828" t="s">
        <v>4</v>
      </c>
      <c r="F3828">
        <v>11</v>
      </c>
      <c r="H3828" t="s">
        <v>5</v>
      </c>
      <c r="I3828" s="1">
        <v>30.29</v>
      </c>
      <c r="J3828" s="1">
        <v>29.68</v>
      </c>
      <c r="K3828" t="s">
        <v>6</v>
      </c>
    </row>
    <row r="3829" spans="1:11">
      <c r="A3829" t="s">
        <v>3906</v>
      </c>
      <c r="B3829">
        <v>467026</v>
      </c>
      <c r="C3829" s="2" t="str">
        <f>"347SW"</f>
        <v>347SW</v>
      </c>
      <c r="D3829" t="s">
        <v>3933</v>
      </c>
      <c r="E3829" t="s">
        <v>4</v>
      </c>
      <c r="F3829">
        <v>21.5</v>
      </c>
      <c r="H3829" t="s">
        <v>5</v>
      </c>
      <c r="I3829" s="1">
        <v>111.87</v>
      </c>
      <c r="J3829" s="1">
        <v>109.63</v>
      </c>
      <c r="K3829" t="s">
        <v>6</v>
      </c>
    </row>
    <row r="3830" spans="1:11">
      <c r="A3830" t="s">
        <v>3906</v>
      </c>
      <c r="B3830">
        <v>470110</v>
      </c>
      <c r="C3830" s="2" t="str">
        <f>"350SW"</f>
        <v>350SW</v>
      </c>
      <c r="D3830" t="s">
        <v>3934</v>
      </c>
      <c r="E3830" t="s">
        <v>4</v>
      </c>
      <c r="F3830">
        <v>22</v>
      </c>
      <c r="H3830" t="s">
        <v>5</v>
      </c>
      <c r="I3830" s="1">
        <v>119.15</v>
      </c>
      <c r="J3830" s="1">
        <v>116.76</v>
      </c>
      <c r="K3830" t="s">
        <v>6</v>
      </c>
    </row>
    <row r="3831" spans="1:11">
      <c r="A3831" t="s">
        <v>3906</v>
      </c>
      <c r="B3831">
        <v>413822</v>
      </c>
      <c r="C3831" s="2" t="str">
        <f>"3516"</f>
        <v>3516</v>
      </c>
      <c r="D3831" t="s">
        <v>3935</v>
      </c>
      <c r="E3831" t="s">
        <v>4</v>
      </c>
      <c r="F3831">
        <v>15</v>
      </c>
      <c r="H3831" t="s">
        <v>5</v>
      </c>
      <c r="I3831" s="1">
        <v>30.42</v>
      </c>
      <c r="J3831" s="1">
        <v>29.81</v>
      </c>
      <c r="K3831" t="s">
        <v>6</v>
      </c>
    </row>
    <row r="3832" spans="1:11">
      <c r="A3832" t="s">
        <v>3906</v>
      </c>
      <c r="B3832">
        <v>466471</v>
      </c>
      <c r="C3832" s="2" t="str">
        <f>"3516SP"</f>
        <v>3516SP</v>
      </c>
      <c r="D3832" t="s">
        <v>3936</v>
      </c>
      <c r="E3832" t="s">
        <v>4</v>
      </c>
      <c r="F3832">
        <v>16</v>
      </c>
      <c r="H3832" t="s">
        <v>5</v>
      </c>
      <c r="I3832" s="1">
        <v>31.79</v>
      </c>
      <c r="J3832" s="1">
        <v>31.15</v>
      </c>
      <c r="K3832" t="s">
        <v>6</v>
      </c>
    </row>
    <row r="3833" spans="1:11">
      <c r="A3833" t="s">
        <v>3906</v>
      </c>
      <c r="B3833">
        <v>371661</v>
      </c>
      <c r="C3833" s="2" t="str">
        <f>"3616WP"</f>
        <v>3616WP</v>
      </c>
      <c r="D3833" t="s">
        <v>3937</v>
      </c>
      <c r="E3833" t="s">
        <v>4</v>
      </c>
      <c r="F3833">
        <v>11</v>
      </c>
      <c r="H3833" t="s">
        <v>5</v>
      </c>
      <c r="I3833" s="1">
        <v>29.45</v>
      </c>
      <c r="J3833" s="1">
        <v>28.86</v>
      </c>
      <c r="K3833" t="s">
        <v>6</v>
      </c>
    </row>
    <row r="3834" spans="1:11">
      <c r="A3834" t="s">
        <v>3906</v>
      </c>
      <c r="B3834">
        <v>440161</v>
      </c>
      <c r="C3834" s="2" t="str">
        <f>"3700WP"</f>
        <v>3700WP</v>
      </c>
      <c r="D3834" t="s">
        <v>3938</v>
      </c>
      <c r="E3834" t="s">
        <v>4</v>
      </c>
      <c r="F3834">
        <v>16</v>
      </c>
      <c r="H3834" t="s">
        <v>5</v>
      </c>
      <c r="I3834" s="1">
        <v>76.959999999999994</v>
      </c>
      <c r="J3834" s="1">
        <v>75.42</v>
      </c>
      <c r="K3834" t="s">
        <v>6</v>
      </c>
    </row>
    <row r="3835" spans="1:11">
      <c r="A3835" t="s">
        <v>3906</v>
      </c>
      <c r="B3835">
        <v>497392</v>
      </c>
      <c r="C3835" s="2" t="str">
        <f>"46-175"</f>
        <v>46-175</v>
      </c>
      <c r="D3835" t="s">
        <v>3939</v>
      </c>
      <c r="E3835" t="s">
        <v>4</v>
      </c>
      <c r="F3835">
        <v>34</v>
      </c>
      <c r="H3835" t="s">
        <v>5</v>
      </c>
      <c r="I3835" s="1">
        <v>78.91</v>
      </c>
      <c r="J3835" s="1">
        <v>78.91</v>
      </c>
      <c r="K3835" t="s">
        <v>6</v>
      </c>
    </row>
    <row r="3836" spans="1:11">
      <c r="A3836" t="s">
        <v>3906</v>
      </c>
      <c r="B3836">
        <v>435069</v>
      </c>
      <c r="C3836" s="2" t="str">
        <f>"4716WP"</f>
        <v>4716WP</v>
      </c>
      <c r="D3836" t="s">
        <v>3940</v>
      </c>
      <c r="E3836" t="s">
        <v>4</v>
      </c>
      <c r="F3836">
        <v>15</v>
      </c>
      <c r="H3836" t="s">
        <v>5</v>
      </c>
      <c r="I3836" s="1">
        <v>38.22</v>
      </c>
      <c r="J3836" s="1">
        <v>37.46</v>
      </c>
      <c r="K3836" t="s">
        <v>6</v>
      </c>
    </row>
    <row r="3837" spans="1:11">
      <c r="A3837" t="s">
        <v>3906</v>
      </c>
      <c r="B3837">
        <v>469759</v>
      </c>
      <c r="C3837" s="2" t="str">
        <f>"511"</f>
        <v>511</v>
      </c>
      <c r="D3837" t="s">
        <v>3941</v>
      </c>
      <c r="E3837" t="s">
        <v>4</v>
      </c>
      <c r="F3837">
        <v>16</v>
      </c>
      <c r="H3837" t="s">
        <v>5</v>
      </c>
      <c r="I3837" s="1">
        <v>40.56</v>
      </c>
      <c r="J3837" s="1">
        <v>39.75</v>
      </c>
      <c r="K3837" t="s">
        <v>6</v>
      </c>
    </row>
    <row r="3838" spans="1:11">
      <c r="A3838" t="s">
        <v>3906</v>
      </c>
      <c r="B3838">
        <v>467023</v>
      </c>
      <c r="C3838" s="2" t="str">
        <f>"520-50"</f>
        <v>520-50</v>
      </c>
      <c r="D3838" t="s">
        <v>3942</v>
      </c>
      <c r="E3838" t="s">
        <v>4</v>
      </c>
      <c r="F3838">
        <v>18.5</v>
      </c>
      <c r="H3838" t="s">
        <v>5</v>
      </c>
      <c r="I3838" s="1">
        <v>32.11</v>
      </c>
      <c r="J3838" s="1">
        <v>31.47</v>
      </c>
      <c r="K3838" t="s">
        <v>6</v>
      </c>
    </row>
    <row r="3839" spans="1:11">
      <c r="A3839" t="s">
        <v>3906</v>
      </c>
      <c r="B3839">
        <v>466487</v>
      </c>
      <c r="C3839" s="2" t="str">
        <f>"525"</f>
        <v>525</v>
      </c>
      <c r="D3839" t="s">
        <v>3943</v>
      </c>
      <c r="E3839" t="s">
        <v>4</v>
      </c>
      <c r="F3839">
        <v>11</v>
      </c>
      <c r="H3839" t="s">
        <v>5</v>
      </c>
      <c r="I3839" s="1">
        <v>26.78</v>
      </c>
      <c r="J3839" s="1">
        <v>26.24</v>
      </c>
      <c r="K3839" t="s">
        <v>6</v>
      </c>
    </row>
    <row r="3840" spans="1:11">
      <c r="A3840" t="s">
        <v>3906</v>
      </c>
      <c r="B3840">
        <v>467027</v>
      </c>
      <c r="C3840" s="2" t="str">
        <f>"526"</f>
        <v>526</v>
      </c>
      <c r="D3840" t="s">
        <v>3944</v>
      </c>
      <c r="E3840" t="s">
        <v>4</v>
      </c>
      <c r="F3840">
        <v>18.25</v>
      </c>
      <c r="H3840" t="s">
        <v>5</v>
      </c>
      <c r="I3840" s="1">
        <v>26.78</v>
      </c>
      <c r="J3840" s="1">
        <v>26.24</v>
      </c>
      <c r="K3840" t="s">
        <v>6</v>
      </c>
    </row>
    <row r="3841" spans="1:12">
      <c r="A3841" t="s">
        <v>3906</v>
      </c>
      <c r="B3841">
        <v>469758</v>
      </c>
      <c r="C3841" s="2" t="str">
        <f>"566"</f>
        <v>566</v>
      </c>
      <c r="D3841" t="s">
        <v>3945</v>
      </c>
      <c r="E3841" t="s">
        <v>4</v>
      </c>
      <c r="F3841">
        <v>15</v>
      </c>
      <c r="H3841" t="s">
        <v>5</v>
      </c>
      <c r="I3841" s="1">
        <v>45.76</v>
      </c>
      <c r="J3841" s="1">
        <v>44.84</v>
      </c>
      <c r="K3841" t="s">
        <v>6</v>
      </c>
    </row>
    <row r="3842" spans="1:12">
      <c r="A3842" t="s">
        <v>3906</v>
      </c>
      <c r="B3842">
        <v>469903</v>
      </c>
      <c r="C3842" s="2" t="str">
        <f>"592BK"</f>
        <v>592BK</v>
      </c>
      <c r="D3842" t="s">
        <v>3946</v>
      </c>
      <c r="E3842" t="s">
        <v>4</v>
      </c>
      <c r="F3842">
        <v>18</v>
      </c>
      <c r="H3842" t="s">
        <v>5</v>
      </c>
      <c r="I3842" s="1">
        <v>40.299999999999997</v>
      </c>
      <c r="J3842" s="1">
        <v>39.49</v>
      </c>
      <c r="K3842" t="s">
        <v>6</v>
      </c>
    </row>
    <row r="3843" spans="1:12">
      <c r="A3843" t="s">
        <v>3906</v>
      </c>
      <c r="B3843">
        <v>470565</v>
      </c>
      <c r="C3843" s="2" t="str">
        <f>"7225-80"</f>
        <v>7225-80</v>
      </c>
      <c r="D3843" t="s">
        <v>3947</v>
      </c>
      <c r="E3843" t="s">
        <v>4</v>
      </c>
      <c r="F3843">
        <v>9</v>
      </c>
      <c r="H3843" t="s">
        <v>5</v>
      </c>
      <c r="I3843" s="1">
        <v>27.5</v>
      </c>
      <c r="J3843" s="1">
        <v>27.5</v>
      </c>
      <c r="K3843" t="s">
        <v>6</v>
      </c>
    </row>
    <row r="3844" spans="1:12">
      <c r="A3844" t="s">
        <v>3906</v>
      </c>
      <c r="B3844">
        <v>442526</v>
      </c>
      <c r="C3844" s="2" t="str">
        <f>"7225-80SP"</f>
        <v>7225-80SP</v>
      </c>
      <c r="D3844" t="s">
        <v>3948</v>
      </c>
      <c r="E3844" t="s">
        <v>4</v>
      </c>
      <c r="F3844">
        <v>10</v>
      </c>
      <c r="H3844" t="s">
        <v>5</v>
      </c>
      <c r="I3844" s="1">
        <v>28.15</v>
      </c>
      <c r="J3844" s="1">
        <v>28.15</v>
      </c>
      <c r="K3844" t="s">
        <v>6</v>
      </c>
    </row>
    <row r="3845" spans="1:12">
      <c r="A3845" t="s">
        <v>3906</v>
      </c>
      <c r="B3845">
        <v>385779</v>
      </c>
      <c r="C3845" s="2" t="str">
        <f>"7225SP"</f>
        <v>7225SP</v>
      </c>
      <c r="D3845" t="s">
        <v>3949</v>
      </c>
      <c r="E3845" t="s">
        <v>4</v>
      </c>
      <c r="F3845">
        <v>18</v>
      </c>
      <c r="H3845" t="s">
        <v>5</v>
      </c>
      <c r="I3845" s="1">
        <v>56.94</v>
      </c>
      <c r="J3845" s="1">
        <v>56.94</v>
      </c>
      <c r="K3845" t="s">
        <v>6</v>
      </c>
    </row>
    <row r="3846" spans="1:12">
      <c r="A3846" t="s">
        <v>3906</v>
      </c>
      <c r="B3846">
        <v>470013</v>
      </c>
      <c r="C3846" s="2" t="str">
        <f>"7313-230"</f>
        <v>7313-230</v>
      </c>
      <c r="D3846" t="s">
        <v>3950</v>
      </c>
      <c r="E3846" t="s">
        <v>4</v>
      </c>
      <c r="F3846">
        <v>35</v>
      </c>
      <c r="H3846" t="s">
        <v>5</v>
      </c>
      <c r="I3846" s="1">
        <v>78.98</v>
      </c>
      <c r="J3846" s="1">
        <v>78.98</v>
      </c>
      <c r="K3846" t="s">
        <v>6</v>
      </c>
    </row>
    <row r="3847" spans="1:12">
      <c r="A3847" t="s">
        <v>3906</v>
      </c>
      <c r="B3847">
        <v>374617</v>
      </c>
      <c r="C3847" s="2" t="str">
        <f>"7313SP"</f>
        <v>7313SP</v>
      </c>
      <c r="D3847" t="s">
        <v>3951</v>
      </c>
      <c r="E3847" t="s">
        <v>4</v>
      </c>
      <c r="F3847">
        <v>18</v>
      </c>
      <c r="H3847" t="s">
        <v>5</v>
      </c>
      <c r="I3847" s="1">
        <v>47</v>
      </c>
      <c r="J3847" s="1">
        <v>47</v>
      </c>
      <c r="K3847" t="s">
        <v>6</v>
      </c>
    </row>
    <row r="3848" spans="1:12">
      <c r="A3848" t="s">
        <v>3906</v>
      </c>
      <c r="B3848">
        <v>472080</v>
      </c>
      <c r="C3848" s="2" t="str">
        <f>"7441SP"</f>
        <v>7441SP</v>
      </c>
      <c r="D3848" t="s">
        <v>3952</v>
      </c>
      <c r="E3848" t="s">
        <v>4</v>
      </c>
      <c r="F3848">
        <v>17</v>
      </c>
      <c r="H3848" t="s">
        <v>5</v>
      </c>
      <c r="I3848" s="1">
        <v>46.35</v>
      </c>
      <c r="J3848" s="1">
        <v>46.35</v>
      </c>
      <c r="K3848" t="s">
        <v>6</v>
      </c>
    </row>
    <row r="3849" spans="1:12">
      <c r="A3849" t="s">
        <v>3906</v>
      </c>
      <c r="B3849">
        <v>469999</v>
      </c>
      <c r="C3849" s="2" t="str">
        <f>"926BND"</f>
        <v>926BND</v>
      </c>
      <c r="D3849" t="s">
        <v>3953</v>
      </c>
      <c r="E3849" t="s">
        <v>4</v>
      </c>
      <c r="F3849">
        <v>22</v>
      </c>
      <c r="H3849" t="s">
        <v>5</v>
      </c>
      <c r="I3849" s="1">
        <v>85.22</v>
      </c>
      <c r="J3849" s="1">
        <v>83.51</v>
      </c>
      <c r="K3849" t="s">
        <v>6</v>
      </c>
    </row>
    <row r="3850" spans="1:12">
      <c r="A3850" t="s">
        <v>3906</v>
      </c>
      <c r="B3850">
        <v>467022</v>
      </c>
      <c r="C3850" s="2" t="str">
        <f>"926SW"</f>
        <v>926SW</v>
      </c>
      <c r="D3850" t="s">
        <v>3954</v>
      </c>
      <c r="E3850" t="s">
        <v>4</v>
      </c>
      <c r="F3850">
        <v>22</v>
      </c>
      <c r="H3850" t="s">
        <v>5</v>
      </c>
      <c r="I3850" s="1">
        <v>68.97</v>
      </c>
      <c r="J3850" s="1">
        <v>67.59</v>
      </c>
      <c r="K3850" t="s">
        <v>6</v>
      </c>
    </row>
    <row r="3851" spans="1:12">
      <c r="A3851" t="s">
        <v>3906</v>
      </c>
      <c r="B3851">
        <v>467024</v>
      </c>
      <c r="C3851" s="2" t="str">
        <f>"947SW"</f>
        <v>947SW</v>
      </c>
      <c r="D3851" t="s">
        <v>3955</v>
      </c>
      <c r="E3851" t="s">
        <v>4</v>
      </c>
      <c r="F3851">
        <v>17.5</v>
      </c>
      <c r="H3851" t="s">
        <v>5</v>
      </c>
      <c r="I3851" s="1">
        <v>75.599999999999994</v>
      </c>
      <c r="J3851" s="1">
        <v>74.08</v>
      </c>
      <c r="K3851" t="s">
        <v>6</v>
      </c>
    </row>
    <row r="3852" spans="1:12">
      <c r="A3852" t="s">
        <v>3906</v>
      </c>
      <c r="B3852">
        <v>469912</v>
      </c>
      <c r="C3852" s="2" t="str">
        <f>"948SW"</f>
        <v>948SW</v>
      </c>
      <c r="D3852" t="s">
        <v>3956</v>
      </c>
      <c r="E3852" t="s">
        <v>4</v>
      </c>
      <c r="F3852">
        <v>29</v>
      </c>
      <c r="H3852" t="s">
        <v>5</v>
      </c>
      <c r="I3852" s="1">
        <v>82.49</v>
      </c>
      <c r="J3852" s="1">
        <v>80.84</v>
      </c>
      <c r="K3852" t="s">
        <v>6</v>
      </c>
    </row>
    <row r="3853" spans="1:12">
      <c r="A3853" t="s">
        <v>3906</v>
      </c>
      <c r="B3853">
        <v>467028</v>
      </c>
      <c r="C3853" s="2" t="str">
        <f>"950SW"</f>
        <v>950SW</v>
      </c>
      <c r="D3853" t="s">
        <v>3957</v>
      </c>
      <c r="E3853" t="s">
        <v>4</v>
      </c>
      <c r="F3853">
        <v>17.75</v>
      </c>
      <c r="H3853" t="s">
        <v>5</v>
      </c>
      <c r="I3853" s="1">
        <v>80.8</v>
      </c>
      <c r="J3853" s="1">
        <v>79.180000000000007</v>
      </c>
      <c r="K3853" t="s">
        <v>6</v>
      </c>
    </row>
    <row r="3854" spans="1:12">
      <c r="A3854" t="s">
        <v>3906</v>
      </c>
      <c r="B3854">
        <v>466495</v>
      </c>
      <c r="C3854" s="2" t="str">
        <f>"A6000G"</f>
        <v>A6000G</v>
      </c>
      <c r="D3854" t="s">
        <v>3958</v>
      </c>
      <c r="E3854" t="s">
        <v>4</v>
      </c>
      <c r="F3854">
        <v>11</v>
      </c>
      <c r="H3854" t="s">
        <v>5</v>
      </c>
      <c r="I3854" s="1">
        <v>28.99</v>
      </c>
      <c r="J3854" s="1">
        <v>28.41</v>
      </c>
      <c r="K3854" t="s">
        <v>6</v>
      </c>
    </row>
    <row r="3855" spans="1:12">
      <c r="A3855" t="s">
        <v>3906</v>
      </c>
      <c r="B3855">
        <v>466497</v>
      </c>
      <c r="C3855" s="2" t="str">
        <f>"A7000"</f>
        <v>A7000</v>
      </c>
      <c r="D3855" t="s">
        <v>3959</v>
      </c>
      <c r="E3855" t="s">
        <v>4</v>
      </c>
      <c r="F3855">
        <v>12</v>
      </c>
      <c r="H3855" t="s">
        <v>5</v>
      </c>
      <c r="I3855" s="1">
        <v>48.88</v>
      </c>
      <c r="J3855" s="1">
        <v>47.9</v>
      </c>
      <c r="K3855" t="s">
        <v>6</v>
      </c>
    </row>
    <row r="3856" spans="1:12">
      <c r="A3856" t="s">
        <v>3906</v>
      </c>
      <c r="B3856">
        <v>474959</v>
      </c>
      <c r="C3856" s="2" t="str">
        <f>"C3204"</f>
        <v>C3204</v>
      </c>
      <c r="D3856" t="s">
        <v>3960</v>
      </c>
      <c r="E3856" t="s">
        <v>4</v>
      </c>
      <c r="F3856">
        <v>13.02</v>
      </c>
      <c r="G3856">
        <v>0.31</v>
      </c>
      <c r="H3856" t="s">
        <v>3961</v>
      </c>
      <c r="I3856" s="1">
        <v>2.73</v>
      </c>
      <c r="J3856" s="1">
        <v>2.73</v>
      </c>
      <c r="K3856" t="s">
        <v>3962</v>
      </c>
      <c r="L3856" s="1">
        <v>2.73</v>
      </c>
    </row>
    <row r="3857" spans="1:12">
      <c r="A3857" t="s">
        <v>3906</v>
      </c>
      <c r="B3857">
        <v>474964</v>
      </c>
      <c r="C3857" s="2" t="str">
        <f>"C3207"</f>
        <v>C3207</v>
      </c>
      <c r="D3857" t="s">
        <v>3963</v>
      </c>
      <c r="E3857" t="s">
        <v>4</v>
      </c>
      <c r="F3857">
        <v>13.02</v>
      </c>
      <c r="G3857">
        <v>0.31</v>
      </c>
      <c r="H3857" t="s">
        <v>3961</v>
      </c>
      <c r="I3857" s="1">
        <v>2.73</v>
      </c>
      <c r="J3857" s="1">
        <v>2.73</v>
      </c>
      <c r="K3857" t="s">
        <v>3962</v>
      </c>
      <c r="L3857" s="1">
        <v>2.73</v>
      </c>
    </row>
    <row r="3858" spans="1:12">
      <c r="A3858" t="s">
        <v>3906</v>
      </c>
      <c r="B3858">
        <v>546798</v>
      </c>
      <c r="C3858" s="2" t="str">
        <f>"C3209"</f>
        <v>C3209</v>
      </c>
      <c r="D3858" t="s">
        <v>3964</v>
      </c>
      <c r="E3858" t="s">
        <v>4</v>
      </c>
      <c r="F3858">
        <v>13.02</v>
      </c>
      <c r="G3858">
        <v>0.31</v>
      </c>
      <c r="H3858" t="s">
        <v>3961</v>
      </c>
      <c r="I3858" s="1">
        <v>2.73</v>
      </c>
      <c r="J3858" s="1">
        <v>2.73</v>
      </c>
      <c r="K3858" t="s">
        <v>3962</v>
      </c>
      <c r="L3858" s="1">
        <v>2.73</v>
      </c>
    </row>
    <row r="3859" spans="1:12">
      <c r="A3859" t="s">
        <v>3906</v>
      </c>
      <c r="B3859">
        <v>546799</v>
      </c>
      <c r="C3859" s="2" t="str">
        <f>"C3213"</f>
        <v>C3213</v>
      </c>
      <c r="D3859" t="s">
        <v>3965</v>
      </c>
      <c r="E3859" t="s">
        <v>4</v>
      </c>
      <c r="F3859">
        <v>13.02</v>
      </c>
      <c r="G3859">
        <v>0.31</v>
      </c>
      <c r="H3859" t="s">
        <v>3961</v>
      </c>
      <c r="I3859" s="1">
        <v>2.73</v>
      </c>
      <c r="J3859" s="1">
        <v>2.73</v>
      </c>
      <c r="K3859" t="s">
        <v>3962</v>
      </c>
      <c r="L3859" s="1">
        <v>2.73</v>
      </c>
    </row>
    <row r="3860" spans="1:12">
      <c r="A3860" t="s">
        <v>3906</v>
      </c>
      <c r="B3860">
        <v>474967</v>
      </c>
      <c r="C3860" s="2" t="str">
        <f>"C3214"</f>
        <v>C3214</v>
      </c>
      <c r="D3860" t="s">
        <v>3966</v>
      </c>
      <c r="E3860" t="s">
        <v>4</v>
      </c>
      <c r="F3860">
        <v>13.02</v>
      </c>
      <c r="G3860">
        <v>0.31</v>
      </c>
      <c r="H3860" t="s">
        <v>3961</v>
      </c>
      <c r="I3860" s="1">
        <v>2.73</v>
      </c>
      <c r="J3860" s="1">
        <v>2.73</v>
      </c>
      <c r="K3860" t="s">
        <v>3962</v>
      </c>
      <c r="L3860" s="1">
        <v>2.73</v>
      </c>
    </row>
    <row r="3861" spans="1:12">
      <c r="A3861" t="s">
        <v>3906</v>
      </c>
      <c r="B3861">
        <v>466926</v>
      </c>
      <c r="C3861" s="2" t="str">
        <f>"D101"</f>
        <v>D101</v>
      </c>
      <c r="D3861" t="s">
        <v>3967</v>
      </c>
      <c r="E3861" t="s">
        <v>4</v>
      </c>
      <c r="F3861">
        <v>10.08</v>
      </c>
      <c r="G3861">
        <v>0.28000000000000003</v>
      </c>
      <c r="H3861" t="s">
        <v>1397</v>
      </c>
      <c r="I3861" s="1">
        <v>11.05</v>
      </c>
      <c r="J3861" s="1">
        <v>11.05</v>
      </c>
      <c r="K3861" t="s">
        <v>3968</v>
      </c>
      <c r="L3861" s="1">
        <v>11.05</v>
      </c>
    </row>
    <row r="3862" spans="1:12">
      <c r="A3862" t="s">
        <v>3906</v>
      </c>
      <c r="B3862">
        <v>466927</v>
      </c>
      <c r="C3862" s="2" t="str">
        <f>"D102"</f>
        <v>D102</v>
      </c>
      <c r="D3862" t="s">
        <v>3969</v>
      </c>
      <c r="E3862" t="s">
        <v>4</v>
      </c>
      <c r="F3862">
        <v>10.08</v>
      </c>
      <c r="G3862">
        <v>0.28000000000000003</v>
      </c>
      <c r="H3862" t="s">
        <v>1397</v>
      </c>
      <c r="I3862" s="1">
        <v>11.05</v>
      </c>
      <c r="J3862" s="1">
        <v>11.05</v>
      </c>
      <c r="K3862" t="s">
        <v>3968</v>
      </c>
      <c r="L3862" s="1">
        <v>11.05</v>
      </c>
    </row>
    <row r="3863" spans="1:12">
      <c r="A3863" t="s">
        <v>3906</v>
      </c>
      <c r="B3863">
        <v>466929</v>
      </c>
      <c r="C3863" s="2" t="str">
        <f>"D103"</f>
        <v>D103</v>
      </c>
      <c r="D3863" t="s">
        <v>3970</v>
      </c>
      <c r="E3863" t="s">
        <v>4</v>
      </c>
      <c r="F3863">
        <v>10.08</v>
      </c>
      <c r="G3863">
        <v>0.28000000000000003</v>
      </c>
      <c r="H3863" t="s">
        <v>1397</v>
      </c>
      <c r="I3863" s="1">
        <v>11.05</v>
      </c>
      <c r="J3863" s="1">
        <v>11.05</v>
      </c>
      <c r="K3863" t="s">
        <v>3968</v>
      </c>
      <c r="L3863" s="1">
        <v>11.05</v>
      </c>
    </row>
    <row r="3864" spans="1:12">
      <c r="A3864" t="s">
        <v>3906</v>
      </c>
      <c r="B3864">
        <v>466931</v>
      </c>
      <c r="C3864" s="2" t="str">
        <f>"D104"</f>
        <v>D104</v>
      </c>
      <c r="D3864" t="s">
        <v>3971</v>
      </c>
      <c r="E3864" t="s">
        <v>4</v>
      </c>
      <c r="F3864">
        <v>10.08</v>
      </c>
      <c r="G3864">
        <v>0.28000000000000003</v>
      </c>
      <c r="H3864" t="s">
        <v>1397</v>
      </c>
      <c r="I3864" s="1">
        <v>11.05</v>
      </c>
      <c r="J3864" s="1">
        <v>11.05</v>
      </c>
      <c r="K3864" t="s">
        <v>3968</v>
      </c>
      <c r="L3864" s="1">
        <v>11.05</v>
      </c>
    </row>
    <row r="3865" spans="1:12">
      <c r="A3865" t="s">
        <v>3906</v>
      </c>
      <c r="B3865">
        <v>466934</v>
      </c>
      <c r="C3865" s="2" t="str">
        <f>"D105"</f>
        <v>D105</v>
      </c>
      <c r="D3865" t="s">
        <v>3972</v>
      </c>
      <c r="E3865" t="s">
        <v>4</v>
      </c>
      <c r="F3865">
        <v>10.08</v>
      </c>
      <c r="G3865">
        <v>0.28000000000000003</v>
      </c>
      <c r="H3865" t="s">
        <v>1397</v>
      </c>
      <c r="I3865" s="1">
        <v>11.05</v>
      </c>
      <c r="J3865" s="1">
        <v>11.05</v>
      </c>
      <c r="K3865" t="s">
        <v>3968</v>
      </c>
      <c r="L3865" s="1">
        <v>11.05</v>
      </c>
    </row>
    <row r="3866" spans="1:12">
      <c r="A3866" t="s">
        <v>3906</v>
      </c>
      <c r="B3866">
        <v>466935</v>
      </c>
      <c r="C3866" s="2" t="str">
        <f>"D106"</f>
        <v>D106</v>
      </c>
      <c r="D3866" t="s">
        <v>3973</v>
      </c>
      <c r="E3866" t="s">
        <v>4</v>
      </c>
      <c r="F3866">
        <v>10.08</v>
      </c>
      <c r="G3866">
        <v>0.28000000000000003</v>
      </c>
      <c r="H3866" t="s">
        <v>1397</v>
      </c>
      <c r="I3866" s="1">
        <v>11.05</v>
      </c>
      <c r="J3866" s="1">
        <v>11.05</v>
      </c>
      <c r="K3866" t="s">
        <v>3968</v>
      </c>
      <c r="L3866" s="1">
        <v>11.05</v>
      </c>
    </row>
    <row r="3867" spans="1:12">
      <c r="A3867" t="s">
        <v>3906</v>
      </c>
      <c r="B3867">
        <v>466936</v>
      </c>
      <c r="C3867" s="2" t="str">
        <f>"D107"</f>
        <v>D107</v>
      </c>
      <c r="D3867" t="s">
        <v>3974</v>
      </c>
      <c r="E3867" t="s">
        <v>4</v>
      </c>
      <c r="F3867">
        <v>10.08</v>
      </c>
      <c r="G3867">
        <v>0.28000000000000003</v>
      </c>
      <c r="H3867" t="s">
        <v>1397</v>
      </c>
      <c r="I3867" s="1">
        <v>11.05</v>
      </c>
      <c r="J3867" s="1">
        <v>11.05</v>
      </c>
      <c r="K3867" t="s">
        <v>3968</v>
      </c>
      <c r="L3867" s="1">
        <v>11.05</v>
      </c>
    </row>
    <row r="3868" spans="1:12">
      <c r="A3868" t="s">
        <v>3906</v>
      </c>
      <c r="B3868">
        <v>467018</v>
      </c>
      <c r="C3868" s="2" t="str">
        <f>"D1KIT"</f>
        <v>D1KIT</v>
      </c>
      <c r="D3868" t="s">
        <v>3975</v>
      </c>
      <c r="E3868" t="s">
        <v>4</v>
      </c>
      <c r="F3868">
        <v>3.42</v>
      </c>
      <c r="H3868" t="s">
        <v>5</v>
      </c>
      <c r="I3868" s="1">
        <v>89.77</v>
      </c>
      <c r="J3868" s="1">
        <v>89.77</v>
      </c>
      <c r="K3868" t="s">
        <v>6</v>
      </c>
    </row>
    <row r="3869" spans="1:12">
      <c r="A3869" t="s">
        <v>3906</v>
      </c>
      <c r="B3869">
        <v>467008</v>
      </c>
      <c r="C3869" s="2" t="str">
        <f>"DISP7R-1"</f>
        <v>DISP7R-1</v>
      </c>
      <c r="D3869" t="s">
        <v>3976</v>
      </c>
      <c r="E3869" t="s">
        <v>4</v>
      </c>
      <c r="F3869">
        <v>1.5</v>
      </c>
      <c r="H3869" t="s">
        <v>5</v>
      </c>
      <c r="I3869" s="1">
        <v>38.549999999999997</v>
      </c>
      <c r="J3869" s="1">
        <v>38.549999999999997</v>
      </c>
      <c r="K3869" t="s">
        <v>6</v>
      </c>
    </row>
    <row r="3870" spans="1:12">
      <c r="A3870" t="s">
        <v>3906</v>
      </c>
      <c r="B3870">
        <v>466938</v>
      </c>
      <c r="C3870" s="2" t="str">
        <f>"DP12"</f>
        <v>DP12</v>
      </c>
      <c r="D3870" t="s">
        <v>3977</v>
      </c>
      <c r="E3870" t="s">
        <v>4</v>
      </c>
      <c r="F3870">
        <v>10.08</v>
      </c>
      <c r="G3870">
        <v>0.28000000000000003</v>
      </c>
      <c r="H3870" t="s">
        <v>1397</v>
      </c>
      <c r="I3870" s="1">
        <v>13</v>
      </c>
      <c r="J3870" s="1">
        <v>13</v>
      </c>
      <c r="K3870" t="s">
        <v>3978</v>
      </c>
      <c r="L3870" s="1">
        <v>13</v>
      </c>
    </row>
    <row r="3871" spans="1:12">
      <c r="A3871" t="s">
        <v>3906</v>
      </c>
      <c r="B3871">
        <v>466939</v>
      </c>
      <c r="C3871" s="2" t="str">
        <f>"DSL23"</f>
        <v>DSL23</v>
      </c>
      <c r="D3871" t="s">
        <v>3979</v>
      </c>
      <c r="E3871" t="s">
        <v>4</v>
      </c>
      <c r="F3871">
        <v>10.08</v>
      </c>
      <c r="G3871">
        <v>0.42</v>
      </c>
      <c r="H3871" t="s">
        <v>666</v>
      </c>
      <c r="I3871" s="1">
        <v>15.47</v>
      </c>
      <c r="J3871" s="1">
        <v>15.47</v>
      </c>
      <c r="K3871" t="s">
        <v>3980</v>
      </c>
      <c r="L3871" s="1">
        <v>15.47</v>
      </c>
    </row>
    <row r="3872" spans="1:12">
      <c r="A3872" t="s">
        <v>3906</v>
      </c>
      <c r="B3872">
        <v>466940</v>
      </c>
      <c r="C3872" s="2" t="str">
        <f>"DSLBX23"</f>
        <v>DSLBX23</v>
      </c>
      <c r="D3872" t="s">
        <v>3981</v>
      </c>
      <c r="E3872" t="s">
        <v>4</v>
      </c>
      <c r="F3872">
        <v>10.08</v>
      </c>
      <c r="G3872">
        <v>0.42</v>
      </c>
      <c r="H3872" t="s">
        <v>666</v>
      </c>
      <c r="I3872" s="1">
        <v>17.36</v>
      </c>
      <c r="J3872" s="1">
        <v>17.36</v>
      </c>
      <c r="K3872" t="s">
        <v>3980</v>
      </c>
      <c r="L3872" s="1">
        <v>17.36</v>
      </c>
    </row>
    <row r="3873" spans="1:11">
      <c r="A3873" t="s">
        <v>3906</v>
      </c>
      <c r="B3873">
        <v>412446</v>
      </c>
      <c r="C3873" s="2" t="str">
        <f>"G3616"</f>
        <v>G3616</v>
      </c>
      <c r="D3873" t="s">
        <v>3982</v>
      </c>
      <c r="E3873" t="s">
        <v>4</v>
      </c>
      <c r="F3873">
        <v>11</v>
      </c>
      <c r="H3873" t="s">
        <v>5</v>
      </c>
      <c r="I3873" s="1">
        <v>28.08</v>
      </c>
      <c r="J3873" s="1">
        <v>27.52</v>
      </c>
      <c r="K3873" t="s">
        <v>6</v>
      </c>
    </row>
    <row r="3874" spans="1:11">
      <c r="A3874" t="s">
        <v>3906</v>
      </c>
      <c r="B3874">
        <v>466475</v>
      </c>
      <c r="C3874" s="2" t="str">
        <f>"G3616BEV"</f>
        <v>G3616BEV</v>
      </c>
      <c r="D3874" t="s">
        <v>3983</v>
      </c>
      <c r="E3874" t="s">
        <v>4</v>
      </c>
      <c r="F3874">
        <v>11</v>
      </c>
      <c r="H3874" t="s">
        <v>5</v>
      </c>
      <c r="I3874" s="1">
        <v>28.08</v>
      </c>
      <c r="J3874" s="1">
        <v>27.52</v>
      </c>
      <c r="K3874" t="s">
        <v>6</v>
      </c>
    </row>
    <row r="3875" spans="1:11">
      <c r="A3875" t="s">
        <v>3906</v>
      </c>
      <c r="B3875">
        <v>400801</v>
      </c>
      <c r="C3875" s="2" t="str">
        <f>"G3616SP"</f>
        <v>G3616SP</v>
      </c>
      <c r="D3875" t="s">
        <v>3984</v>
      </c>
      <c r="E3875" t="s">
        <v>4</v>
      </c>
      <c r="F3875">
        <v>11</v>
      </c>
      <c r="H3875" t="s">
        <v>5</v>
      </c>
      <c r="I3875" s="1">
        <v>29.45</v>
      </c>
      <c r="J3875" s="1">
        <v>28.86</v>
      </c>
      <c r="K3875" t="s">
        <v>6</v>
      </c>
    </row>
    <row r="3876" spans="1:11">
      <c r="A3876" t="s">
        <v>3906</v>
      </c>
      <c r="B3876">
        <v>412447</v>
      </c>
      <c r="C3876" s="2" t="str">
        <f>"G3632"</f>
        <v>G3632</v>
      </c>
      <c r="D3876" t="s">
        <v>3985</v>
      </c>
      <c r="E3876" t="s">
        <v>4</v>
      </c>
      <c r="F3876">
        <v>12</v>
      </c>
      <c r="H3876" t="s">
        <v>5</v>
      </c>
      <c r="I3876" s="1">
        <v>26.78</v>
      </c>
      <c r="J3876" s="1">
        <v>26.24</v>
      </c>
      <c r="K3876" t="s">
        <v>6</v>
      </c>
    </row>
    <row r="3877" spans="1:11">
      <c r="A3877" t="s">
        <v>3906</v>
      </c>
      <c r="B3877">
        <v>441650</v>
      </c>
      <c r="C3877" s="2" t="str">
        <f>"G3632SP"</f>
        <v>G3632SP</v>
      </c>
      <c r="D3877" t="s">
        <v>3985</v>
      </c>
      <c r="E3877" t="s">
        <v>4</v>
      </c>
      <c r="F3877">
        <v>12</v>
      </c>
      <c r="H3877" t="s">
        <v>5</v>
      </c>
      <c r="I3877" s="1">
        <v>28.15</v>
      </c>
      <c r="J3877" s="1">
        <v>27.58</v>
      </c>
      <c r="K3877" t="s">
        <v>6</v>
      </c>
    </row>
    <row r="3878" spans="1:11">
      <c r="A3878" t="s">
        <v>3906</v>
      </c>
      <c r="B3878">
        <v>369387</v>
      </c>
      <c r="C3878" s="2" t="str">
        <f>"G3674"</f>
        <v>G3674</v>
      </c>
      <c r="D3878" t="s">
        <v>3986</v>
      </c>
      <c r="E3878" t="s">
        <v>4</v>
      </c>
      <c r="F3878">
        <v>16</v>
      </c>
      <c r="H3878" t="s">
        <v>5</v>
      </c>
      <c r="I3878" s="1">
        <v>32.11</v>
      </c>
      <c r="J3878" s="1">
        <v>31.47</v>
      </c>
      <c r="K3878" t="s">
        <v>6</v>
      </c>
    </row>
    <row r="3879" spans="1:11">
      <c r="A3879" t="s">
        <v>3906</v>
      </c>
      <c r="B3879">
        <v>466485</v>
      </c>
      <c r="C3879" s="2" t="str">
        <f>"G3674SP"</f>
        <v>G3674SP</v>
      </c>
      <c r="D3879" t="s">
        <v>3987</v>
      </c>
      <c r="E3879" t="s">
        <v>4</v>
      </c>
      <c r="F3879">
        <v>14</v>
      </c>
      <c r="H3879" t="s">
        <v>5</v>
      </c>
      <c r="I3879" s="1">
        <v>33.479999999999997</v>
      </c>
      <c r="J3879" s="1">
        <v>32.81</v>
      </c>
      <c r="K3879" t="s">
        <v>6</v>
      </c>
    </row>
    <row r="3880" spans="1:11">
      <c r="A3880" t="s">
        <v>3906</v>
      </c>
      <c r="B3880">
        <v>369407</v>
      </c>
      <c r="C3880" s="2" t="str">
        <f>"G4774SP"</f>
        <v>G4774SP</v>
      </c>
      <c r="D3880" t="s">
        <v>3988</v>
      </c>
      <c r="E3880" t="s">
        <v>4</v>
      </c>
      <c r="F3880">
        <v>20</v>
      </c>
      <c r="H3880" t="s">
        <v>5</v>
      </c>
      <c r="I3880" s="1">
        <v>47.06</v>
      </c>
      <c r="J3880" s="1">
        <v>46.12</v>
      </c>
      <c r="K3880" t="s">
        <v>6</v>
      </c>
    </row>
    <row r="3881" spans="1:11">
      <c r="A3881" t="s">
        <v>3906</v>
      </c>
      <c r="B3881">
        <v>412448</v>
      </c>
      <c r="C3881" s="2" t="str">
        <f>"G4797"</f>
        <v>G4797</v>
      </c>
      <c r="D3881" t="s">
        <v>3989</v>
      </c>
      <c r="E3881" t="s">
        <v>4</v>
      </c>
      <c r="F3881">
        <v>17</v>
      </c>
      <c r="H3881" t="s">
        <v>5</v>
      </c>
      <c r="I3881" s="1">
        <v>74.23</v>
      </c>
      <c r="J3881" s="1">
        <v>72.75</v>
      </c>
      <c r="K3881" t="s">
        <v>6</v>
      </c>
    </row>
    <row r="3882" spans="1:11">
      <c r="A3882" t="s">
        <v>3906</v>
      </c>
      <c r="B3882">
        <v>370679</v>
      </c>
      <c r="C3882" s="2" t="str">
        <f>"G4797-3BK"</f>
        <v>G4797-3BK</v>
      </c>
      <c r="D3882" t="s">
        <v>3990</v>
      </c>
      <c r="E3882" t="s">
        <v>4</v>
      </c>
      <c r="F3882">
        <v>14</v>
      </c>
      <c r="H3882" t="s">
        <v>5</v>
      </c>
      <c r="I3882" s="1">
        <v>126.17</v>
      </c>
      <c r="J3882" s="1">
        <v>123.64</v>
      </c>
      <c r="K3882" t="s">
        <v>6</v>
      </c>
    </row>
    <row r="3883" spans="1:11">
      <c r="A3883" t="s">
        <v>3906</v>
      </c>
      <c r="B3883">
        <v>374877</v>
      </c>
      <c r="C3883" s="2" t="str">
        <f>"G4797-3SP"</f>
        <v>G4797-3SP</v>
      </c>
      <c r="D3883" t="s">
        <v>1786</v>
      </c>
      <c r="E3883" t="s">
        <v>4</v>
      </c>
      <c r="F3883">
        <v>22</v>
      </c>
      <c r="H3883" t="s">
        <v>5</v>
      </c>
      <c r="I3883" s="1">
        <v>111.87</v>
      </c>
      <c r="J3883" s="1">
        <v>109.63</v>
      </c>
      <c r="K3883" t="s">
        <v>6</v>
      </c>
    </row>
    <row r="3884" spans="1:11">
      <c r="A3884" t="s">
        <v>3906</v>
      </c>
      <c r="B3884">
        <v>369374</v>
      </c>
      <c r="C3884" s="2" t="str">
        <f>"G4797BK"</f>
        <v>G4797BK</v>
      </c>
      <c r="D3884" t="s">
        <v>3991</v>
      </c>
      <c r="E3884" t="s">
        <v>4</v>
      </c>
      <c r="F3884">
        <v>14</v>
      </c>
      <c r="H3884" t="s">
        <v>5</v>
      </c>
      <c r="I3884" s="1">
        <v>88.47</v>
      </c>
      <c r="J3884" s="1">
        <v>86.7</v>
      </c>
      <c r="K3884" t="s">
        <v>6</v>
      </c>
    </row>
    <row r="3885" spans="1:11">
      <c r="A3885" t="s">
        <v>3906</v>
      </c>
      <c r="B3885">
        <v>368988</v>
      </c>
      <c r="C3885" s="2" t="str">
        <f>"G4797SP"</f>
        <v>G4797SP</v>
      </c>
      <c r="D3885" t="s">
        <v>3992</v>
      </c>
      <c r="E3885" t="s">
        <v>4</v>
      </c>
      <c r="F3885">
        <v>22</v>
      </c>
      <c r="H3885" t="s">
        <v>5</v>
      </c>
      <c r="I3885" s="1">
        <v>75.599999999999994</v>
      </c>
      <c r="J3885" s="1">
        <v>74.08</v>
      </c>
      <c r="K3885" t="s">
        <v>6</v>
      </c>
    </row>
    <row r="3886" spans="1:11">
      <c r="A3886" t="s">
        <v>3906</v>
      </c>
      <c r="B3886">
        <v>388483</v>
      </c>
      <c r="C3886" s="2" t="str">
        <f>"G4900"</f>
        <v>G4900</v>
      </c>
      <c r="D3886" t="s">
        <v>3993</v>
      </c>
      <c r="E3886" t="s">
        <v>4</v>
      </c>
      <c r="F3886">
        <v>20</v>
      </c>
      <c r="H3886" t="s">
        <v>5</v>
      </c>
      <c r="I3886" s="1">
        <v>69.680000000000007</v>
      </c>
      <c r="J3886" s="1">
        <v>68.290000000000006</v>
      </c>
      <c r="K3886" t="s">
        <v>6</v>
      </c>
    </row>
    <row r="3887" spans="1:11">
      <c r="A3887" t="s">
        <v>3906</v>
      </c>
      <c r="B3887">
        <v>368986</v>
      </c>
      <c r="C3887" s="2" t="str">
        <f>"G4900BK"</f>
        <v>G4900BK</v>
      </c>
      <c r="D3887" t="s">
        <v>3994</v>
      </c>
      <c r="E3887" t="s">
        <v>4</v>
      </c>
      <c r="F3887">
        <v>24</v>
      </c>
      <c r="H3887" t="s">
        <v>5</v>
      </c>
      <c r="I3887" s="1">
        <v>85.93</v>
      </c>
      <c r="J3887" s="1">
        <v>84.21</v>
      </c>
      <c r="K3887" t="s">
        <v>6</v>
      </c>
    </row>
    <row r="3888" spans="1:11">
      <c r="A3888" t="s">
        <v>3906</v>
      </c>
      <c r="B3888">
        <v>467125</v>
      </c>
      <c r="C3888" s="2" t="str">
        <f>"G4900SP"</f>
        <v>G4900SP</v>
      </c>
      <c r="D3888" t="s">
        <v>3995</v>
      </c>
      <c r="E3888" t="s">
        <v>4</v>
      </c>
      <c r="F3888">
        <v>20</v>
      </c>
      <c r="H3888" t="s">
        <v>5</v>
      </c>
      <c r="I3888" s="1">
        <v>70.98</v>
      </c>
      <c r="J3888" s="1">
        <v>69.56</v>
      </c>
      <c r="K3888" t="s">
        <v>6</v>
      </c>
    </row>
    <row r="3889" spans="1:12">
      <c r="A3889" t="s">
        <v>3906</v>
      </c>
      <c r="B3889">
        <v>469772</v>
      </c>
      <c r="C3889" s="2" t="str">
        <f>"G4974"</f>
        <v>G4974</v>
      </c>
      <c r="D3889" t="s">
        <v>3996</v>
      </c>
      <c r="E3889" t="s">
        <v>4</v>
      </c>
      <c r="F3889">
        <v>9</v>
      </c>
      <c r="H3889" t="s">
        <v>5</v>
      </c>
      <c r="I3889" s="1">
        <v>26.91</v>
      </c>
      <c r="J3889" s="1">
        <v>26.37</v>
      </c>
      <c r="K3889" t="s">
        <v>6</v>
      </c>
    </row>
    <row r="3890" spans="1:12">
      <c r="A3890" t="s">
        <v>3906</v>
      </c>
      <c r="B3890">
        <v>412450</v>
      </c>
      <c r="C3890" s="2" t="str">
        <f>"G6000"</f>
        <v>G6000</v>
      </c>
      <c r="D3890" t="s">
        <v>3997</v>
      </c>
      <c r="E3890" t="s">
        <v>4</v>
      </c>
      <c r="F3890">
        <v>11</v>
      </c>
      <c r="H3890" t="s">
        <v>5</v>
      </c>
      <c r="I3890" s="1">
        <v>28.99</v>
      </c>
      <c r="J3890" s="1">
        <v>28.41</v>
      </c>
      <c r="K3890" t="s">
        <v>6</v>
      </c>
    </row>
    <row r="3891" spans="1:12">
      <c r="A3891" t="s">
        <v>3906</v>
      </c>
      <c r="B3891">
        <v>466491</v>
      </c>
      <c r="C3891" s="2" t="str">
        <f>"G6000SP"</f>
        <v>G6000SP</v>
      </c>
      <c r="D3891" t="s">
        <v>3998</v>
      </c>
      <c r="E3891" t="s">
        <v>4</v>
      </c>
      <c r="F3891">
        <v>11</v>
      </c>
      <c r="H3891" t="s">
        <v>5</v>
      </c>
      <c r="I3891" s="1">
        <v>30.29</v>
      </c>
      <c r="J3891" s="1">
        <v>29.68</v>
      </c>
      <c r="K3891" t="s">
        <v>6</v>
      </c>
    </row>
    <row r="3892" spans="1:12">
      <c r="A3892" t="s">
        <v>3906</v>
      </c>
      <c r="B3892">
        <v>412451</v>
      </c>
      <c r="C3892" s="2" t="str">
        <f>"G7000"</f>
        <v>G7000</v>
      </c>
      <c r="D3892" t="s">
        <v>3999</v>
      </c>
      <c r="E3892" t="s">
        <v>4</v>
      </c>
      <c r="F3892">
        <v>12</v>
      </c>
      <c r="H3892" t="s">
        <v>5</v>
      </c>
      <c r="I3892" s="1">
        <v>48.88</v>
      </c>
      <c r="J3892" s="1">
        <v>47.9</v>
      </c>
      <c r="K3892" t="s">
        <v>6</v>
      </c>
    </row>
    <row r="3893" spans="1:12">
      <c r="A3893" t="s">
        <v>3906</v>
      </c>
      <c r="B3893">
        <v>464723</v>
      </c>
      <c r="C3893" s="2" t="str">
        <f>"G7000SP"</f>
        <v>G7000SP</v>
      </c>
      <c r="D3893" t="s">
        <v>4000</v>
      </c>
      <c r="E3893" t="s">
        <v>4</v>
      </c>
      <c r="F3893">
        <v>12</v>
      </c>
      <c r="H3893" t="s">
        <v>5</v>
      </c>
      <c r="I3893" s="1">
        <v>50.25</v>
      </c>
      <c r="J3893" s="1">
        <v>49.24</v>
      </c>
      <c r="K3893" t="s">
        <v>6</v>
      </c>
    </row>
    <row r="3894" spans="1:12">
      <c r="A3894" t="s">
        <v>3906</v>
      </c>
      <c r="B3894">
        <v>467038</v>
      </c>
      <c r="C3894" s="2" t="str">
        <f>"G8000SP"</f>
        <v>G8000SP</v>
      </c>
      <c r="D3894" t="s">
        <v>4001</v>
      </c>
      <c r="E3894" t="s">
        <v>4</v>
      </c>
      <c r="F3894">
        <v>17</v>
      </c>
      <c r="H3894" t="s">
        <v>5</v>
      </c>
      <c r="I3894" s="1">
        <v>49.27</v>
      </c>
      <c r="J3894" s="1">
        <v>48.28</v>
      </c>
      <c r="K3894" t="s">
        <v>6</v>
      </c>
    </row>
    <row r="3895" spans="1:12">
      <c r="A3895" t="s">
        <v>3906</v>
      </c>
      <c r="B3895">
        <v>467021</v>
      </c>
      <c r="C3895" s="2" t="str">
        <f>"KC100"</f>
        <v>KC100</v>
      </c>
      <c r="D3895" t="s">
        <v>4002</v>
      </c>
      <c r="E3895" t="s">
        <v>4</v>
      </c>
      <c r="F3895">
        <v>18.25</v>
      </c>
      <c r="H3895" t="s">
        <v>5</v>
      </c>
      <c r="I3895" s="1">
        <v>24.64</v>
      </c>
      <c r="J3895" s="1">
        <v>24.14</v>
      </c>
      <c r="K3895" t="s">
        <v>6</v>
      </c>
    </row>
    <row r="3896" spans="1:12">
      <c r="A3896" t="s">
        <v>3906</v>
      </c>
      <c r="B3896">
        <v>431905</v>
      </c>
      <c r="C3896" s="2" t="str">
        <f>"K-DUPL100"</f>
        <v>K-DUPL100</v>
      </c>
      <c r="D3896" t="s">
        <v>4003</v>
      </c>
      <c r="E3896" t="s">
        <v>4</v>
      </c>
      <c r="F3896">
        <v>10</v>
      </c>
      <c r="H3896" t="s">
        <v>5</v>
      </c>
      <c r="I3896" s="1">
        <v>24.64</v>
      </c>
      <c r="J3896" s="1">
        <v>24.14</v>
      </c>
      <c r="K3896" t="s">
        <v>6</v>
      </c>
    </row>
    <row r="3897" spans="1:12">
      <c r="A3897" t="s">
        <v>3906</v>
      </c>
      <c r="B3897">
        <v>467006</v>
      </c>
      <c r="C3897" s="2" t="str">
        <f>"LL7R-1"</f>
        <v>LL7R-1</v>
      </c>
      <c r="D3897" t="s">
        <v>4004</v>
      </c>
      <c r="E3897" t="s">
        <v>4</v>
      </c>
      <c r="F3897">
        <v>1.5</v>
      </c>
      <c r="H3897" t="s">
        <v>5</v>
      </c>
      <c r="I3897" s="1">
        <v>12.42</v>
      </c>
      <c r="J3897" s="1">
        <v>12.42</v>
      </c>
      <c r="K3897" t="s">
        <v>6</v>
      </c>
    </row>
    <row r="3898" spans="1:12">
      <c r="A3898" t="s">
        <v>3906</v>
      </c>
      <c r="B3898">
        <v>481152</v>
      </c>
      <c r="C3898" s="2" t="str">
        <f>"LL7R-2"</f>
        <v>LL7R-2</v>
      </c>
      <c r="D3898" t="s">
        <v>4005</v>
      </c>
      <c r="E3898" t="s">
        <v>4</v>
      </c>
      <c r="F3898">
        <v>3</v>
      </c>
      <c r="H3898" t="s">
        <v>5</v>
      </c>
      <c r="I3898" s="1">
        <v>23.47</v>
      </c>
      <c r="J3898" s="1">
        <v>23.47</v>
      </c>
      <c r="K3898" t="s">
        <v>6</v>
      </c>
    </row>
    <row r="3899" spans="1:12">
      <c r="A3899" t="s">
        <v>3906</v>
      </c>
      <c r="B3899">
        <v>466873</v>
      </c>
      <c r="C3899" s="2" t="str">
        <f>"P101"</f>
        <v>P101</v>
      </c>
      <c r="D3899" t="s">
        <v>4006</v>
      </c>
      <c r="E3899" t="s">
        <v>4</v>
      </c>
      <c r="F3899">
        <v>11.16</v>
      </c>
      <c r="G3899">
        <v>0.31</v>
      </c>
      <c r="H3899" t="s">
        <v>1397</v>
      </c>
      <c r="I3899" s="1">
        <v>2.73</v>
      </c>
      <c r="J3899" s="1">
        <v>2.73</v>
      </c>
      <c r="K3899" t="s">
        <v>3968</v>
      </c>
      <c r="L3899" s="1">
        <v>2.73</v>
      </c>
    </row>
    <row r="3900" spans="1:12">
      <c r="A3900" t="s">
        <v>3906</v>
      </c>
      <c r="B3900">
        <v>466874</v>
      </c>
      <c r="C3900" s="2" t="str">
        <f>"P102"</f>
        <v>P102</v>
      </c>
      <c r="D3900" t="s">
        <v>4007</v>
      </c>
      <c r="E3900" t="s">
        <v>4</v>
      </c>
      <c r="F3900">
        <v>11.16</v>
      </c>
      <c r="G3900">
        <v>0.31</v>
      </c>
      <c r="H3900" t="s">
        <v>1397</v>
      </c>
      <c r="I3900" s="1">
        <v>2.73</v>
      </c>
      <c r="J3900" s="1">
        <v>2.73</v>
      </c>
      <c r="K3900" t="s">
        <v>3968</v>
      </c>
      <c r="L3900" s="1">
        <v>2.73</v>
      </c>
    </row>
    <row r="3901" spans="1:12">
      <c r="A3901" t="s">
        <v>3906</v>
      </c>
      <c r="B3901">
        <v>466875</v>
      </c>
      <c r="C3901" s="2" t="str">
        <f>"P103"</f>
        <v>P103</v>
      </c>
      <c r="D3901" t="s">
        <v>4008</v>
      </c>
      <c r="E3901" t="s">
        <v>4</v>
      </c>
      <c r="F3901">
        <v>11.16</v>
      </c>
      <c r="G3901">
        <v>0.31</v>
      </c>
      <c r="H3901" t="s">
        <v>1397</v>
      </c>
      <c r="I3901" s="1">
        <v>2.73</v>
      </c>
      <c r="J3901" s="1">
        <v>2.73</v>
      </c>
      <c r="K3901" t="s">
        <v>3968</v>
      </c>
      <c r="L3901" s="1">
        <v>2.73</v>
      </c>
    </row>
    <row r="3902" spans="1:12">
      <c r="A3902" t="s">
        <v>3906</v>
      </c>
      <c r="B3902">
        <v>466876</v>
      </c>
      <c r="C3902" s="2" t="str">
        <f>"P104"</f>
        <v>P104</v>
      </c>
      <c r="D3902" t="s">
        <v>4009</v>
      </c>
      <c r="E3902" t="s">
        <v>4</v>
      </c>
      <c r="F3902">
        <v>11.16</v>
      </c>
      <c r="G3902">
        <v>0.31</v>
      </c>
      <c r="H3902" t="s">
        <v>1397</v>
      </c>
      <c r="I3902" s="1">
        <v>2.73</v>
      </c>
      <c r="J3902" s="1">
        <v>2.73</v>
      </c>
      <c r="K3902" t="s">
        <v>3968</v>
      </c>
      <c r="L3902" s="1">
        <v>2.73</v>
      </c>
    </row>
    <row r="3903" spans="1:12">
      <c r="A3903" t="s">
        <v>3906</v>
      </c>
      <c r="B3903">
        <v>466877</v>
      </c>
      <c r="C3903" s="2" t="str">
        <f>"P105"</f>
        <v>P105</v>
      </c>
      <c r="D3903" t="s">
        <v>4010</v>
      </c>
      <c r="E3903" t="s">
        <v>4</v>
      </c>
      <c r="F3903">
        <v>11.16</v>
      </c>
      <c r="G3903">
        <v>0.31</v>
      </c>
      <c r="H3903" t="s">
        <v>1397</v>
      </c>
      <c r="I3903" s="1">
        <v>2.73</v>
      </c>
      <c r="J3903" s="1">
        <v>2.73</v>
      </c>
      <c r="K3903" t="s">
        <v>3968</v>
      </c>
      <c r="L3903" s="1">
        <v>2.73</v>
      </c>
    </row>
    <row r="3904" spans="1:12">
      <c r="A3904" t="s">
        <v>3906</v>
      </c>
      <c r="B3904">
        <v>466878</v>
      </c>
      <c r="C3904" s="2" t="str">
        <f>"P106"</f>
        <v>P106</v>
      </c>
      <c r="D3904" t="s">
        <v>4011</v>
      </c>
      <c r="E3904" t="s">
        <v>4</v>
      </c>
      <c r="F3904">
        <v>11.16</v>
      </c>
      <c r="G3904">
        <v>0.31</v>
      </c>
      <c r="H3904" t="s">
        <v>1397</v>
      </c>
      <c r="I3904" s="1">
        <v>2.73</v>
      </c>
      <c r="J3904" s="1">
        <v>2.73</v>
      </c>
      <c r="K3904" t="s">
        <v>3968</v>
      </c>
      <c r="L3904" s="1">
        <v>2.73</v>
      </c>
    </row>
    <row r="3905" spans="1:12">
      <c r="A3905" t="s">
        <v>3906</v>
      </c>
      <c r="B3905">
        <v>466879</v>
      </c>
      <c r="C3905" s="2" t="str">
        <f>"P107"</f>
        <v>P107</v>
      </c>
      <c r="D3905" t="s">
        <v>4012</v>
      </c>
      <c r="E3905" t="s">
        <v>4</v>
      </c>
      <c r="F3905">
        <v>11.16</v>
      </c>
      <c r="G3905">
        <v>0.31</v>
      </c>
      <c r="H3905" t="s">
        <v>1397</v>
      </c>
      <c r="I3905" s="1">
        <v>2.73</v>
      </c>
      <c r="J3905" s="1">
        <v>2.73</v>
      </c>
      <c r="K3905" t="s">
        <v>3968</v>
      </c>
      <c r="L3905" s="1">
        <v>2.73</v>
      </c>
    </row>
    <row r="3906" spans="1:12">
      <c r="A3906" t="s">
        <v>3906</v>
      </c>
      <c r="B3906">
        <v>467016</v>
      </c>
      <c r="C3906" s="2" t="str">
        <f>"P1KIT"</f>
        <v>P1KIT</v>
      </c>
      <c r="D3906" t="s">
        <v>4013</v>
      </c>
      <c r="E3906" t="s">
        <v>4</v>
      </c>
      <c r="F3906">
        <v>3.42</v>
      </c>
      <c r="H3906" t="s">
        <v>5</v>
      </c>
      <c r="I3906" s="1">
        <v>26.2</v>
      </c>
      <c r="J3906" s="1">
        <v>26.2</v>
      </c>
      <c r="K3906" t="s">
        <v>6</v>
      </c>
    </row>
    <row r="3907" spans="1:12">
      <c r="A3907" t="s">
        <v>3906</v>
      </c>
      <c r="B3907">
        <v>369431</v>
      </c>
      <c r="C3907" s="2" t="str">
        <f>"P3632SP"</f>
        <v>P3632SP</v>
      </c>
      <c r="D3907" t="s">
        <v>4014</v>
      </c>
      <c r="E3907" t="s">
        <v>4</v>
      </c>
      <c r="F3907">
        <v>12</v>
      </c>
      <c r="H3907" t="s">
        <v>5</v>
      </c>
      <c r="I3907" s="1">
        <v>26.78</v>
      </c>
      <c r="J3907" s="1">
        <v>26.24</v>
      </c>
      <c r="K3907" t="s">
        <v>6</v>
      </c>
    </row>
    <row r="3908" spans="1:12">
      <c r="A3908" t="s">
        <v>3906</v>
      </c>
      <c r="B3908">
        <v>466866</v>
      </c>
      <c r="C3908" s="2" t="str">
        <f>"P7501"</f>
        <v>P7501</v>
      </c>
      <c r="D3908" t="s">
        <v>4015</v>
      </c>
      <c r="E3908" t="s">
        <v>4</v>
      </c>
      <c r="F3908">
        <v>13.02</v>
      </c>
      <c r="G3908">
        <v>0.31</v>
      </c>
      <c r="H3908" t="s">
        <v>3961</v>
      </c>
      <c r="I3908" s="1">
        <v>2.73</v>
      </c>
      <c r="J3908" s="1">
        <v>2.73</v>
      </c>
      <c r="K3908" t="s">
        <v>3962</v>
      </c>
      <c r="L3908" s="1">
        <v>2.73</v>
      </c>
    </row>
    <row r="3909" spans="1:12">
      <c r="A3909" t="s">
        <v>3906</v>
      </c>
      <c r="B3909">
        <v>466867</v>
      </c>
      <c r="C3909" s="2" t="str">
        <f>"P7502"</f>
        <v>P7502</v>
      </c>
      <c r="D3909" t="s">
        <v>4016</v>
      </c>
      <c r="E3909" t="s">
        <v>4</v>
      </c>
      <c r="F3909">
        <v>13.02</v>
      </c>
      <c r="G3909">
        <v>0.31</v>
      </c>
      <c r="H3909" t="s">
        <v>3961</v>
      </c>
      <c r="I3909" s="1">
        <v>2.73</v>
      </c>
      <c r="J3909" s="1">
        <v>2.73</v>
      </c>
      <c r="K3909" t="s">
        <v>3962</v>
      </c>
      <c r="L3909" s="1">
        <v>2.73</v>
      </c>
    </row>
    <row r="3910" spans="1:12">
      <c r="A3910" t="s">
        <v>3906</v>
      </c>
      <c r="B3910">
        <v>466868</v>
      </c>
      <c r="C3910" s="2" t="str">
        <f>"P7503"</f>
        <v>P7503</v>
      </c>
      <c r="D3910" t="s">
        <v>4017</v>
      </c>
      <c r="E3910" t="s">
        <v>4</v>
      </c>
      <c r="F3910">
        <v>13.02</v>
      </c>
      <c r="G3910">
        <v>0.31</v>
      </c>
      <c r="H3910" t="s">
        <v>3961</v>
      </c>
      <c r="I3910" s="1">
        <v>2.73</v>
      </c>
      <c r="J3910" s="1">
        <v>2.73</v>
      </c>
      <c r="K3910" t="s">
        <v>3962</v>
      </c>
      <c r="L3910" s="1">
        <v>2.73</v>
      </c>
    </row>
    <row r="3911" spans="1:12">
      <c r="A3911" t="s">
        <v>3906</v>
      </c>
      <c r="B3911">
        <v>466869</v>
      </c>
      <c r="C3911" s="2" t="str">
        <f>"P7504"</f>
        <v>P7504</v>
      </c>
      <c r="D3911" t="s">
        <v>4018</v>
      </c>
      <c r="E3911" t="s">
        <v>4</v>
      </c>
      <c r="F3911">
        <v>13.02</v>
      </c>
      <c r="G3911">
        <v>0.31</v>
      </c>
      <c r="H3911" t="s">
        <v>3961</v>
      </c>
      <c r="I3911" s="1">
        <v>2.73</v>
      </c>
      <c r="J3911" s="1">
        <v>2.73</v>
      </c>
      <c r="K3911" t="s">
        <v>3962</v>
      </c>
      <c r="L3911" s="1">
        <v>2.73</v>
      </c>
    </row>
    <row r="3912" spans="1:12">
      <c r="A3912" t="s">
        <v>3906</v>
      </c>
      <c r="B3912">
        <v>466870</v>
      </c>
      <c r="C3912" s="2" t="str">
        <f>"P7505"</f>
        <v>P7505</v>
      </c>
      <c r="D3912" t="s">
        <v>4019</v>
      </c>
      <c r="E3912" t="s">
        <v>4</v>
      </c>
      <c r="F3912">
        <v>13.02</v>
      </c>
      <c r="G3912">
        <v>0.31</v>
      </c>
      <c r="H3912" t="s">
        <v>3961</v>
      </c>
      <c r="I3912" s="1">
        <v>2.73</v>
      </c>
      <c r="J3912" s="1">
        <v>2.73</v>
      </c>
      <c r="K3912" t="s">
        <v>3962</v>
      </c>
      <c r="L3912" s="1">
        <v>2.73</v>
      </c>
    </row>
    <row r="3913" spans="1:12">
      <c r="A3913" t="s">
        <v>3906</v>
      </c>
      <c r="B3913">
        <v>466871</v>
      </c>
      <c r="C3913" s="2" t="str">
        <f>"P7506"</f>
        <v>P7506</v>
      </c>
      <c r="D3913" t="s">
        <v>4020</v>
      </c>
      <c r="E3913" t="s">
        <v>4</v>
      </c>
      <c r="F3913">
        <v>13.02</v>
      </c>
      <c r="G3913">
        <v>0.31</v>
      </c>
      <c r="H3913" t="s">
        <v>3961</v>
      </c>
      <c r="I3913" s="1">
        <v>2.73</v>
      </c>
      <c r="J3913" s="1">
        <v>2.73</v>
      </c>
      <c r="K3913" t="s">
        <v>3962</v>
      </c>
      <c r="L3913" s="1">
        <v>2.73</v>
      </c>
    </row>
    <row r="3914" spans="1:12">
      <c r="A3914" t="s">
        <v>3906</v>
      </c>
      <c r="B3914">
        <v>466872</v>
      </c>
      <c r="C3914" s="2" t="str">
        <f>"P7507"</f>
        <v>P7507</v>
      </c>
      <c r="D3914" t="s">
        <v>4021</v>
      </c>
      <c r="E3914" t="s">
        <v>4</v>
      </c>
      <c r="F3914">
        <v>13.02</v>
      </c>
      <c r="G3914">
        <v>0.31</v>
      </c>
      <c r="H3914" t="s">
        <v>3961</v>
      </c>
      <c r="I3914" s="1">
        <v>2.73</v>
      </c>
      <c r="J3914" s="1">
        <v>2.73</v>
      </c>
      <c r="K3914" t="s">
        <v>3962</v>
      </c>
      <c r="L3914" s="1">
        <v>2.73</v>
      </c>
    </row>
    <row r="3915" spans="1:12">
      <c r="A3915" t="s">
        <v>3906</v>
      </c>
      <c r="B3915">
        <v>370682</v>
      </c>
      <c r="C3915" s="2" t="str">
        <f>"PICO1-SP"</f>
        <v>PICO1-SP</v>
      </c>
      <c r="D3915" t="s">
        <v>4022</v>
      </c>
      <c r="E3915" t="s">
        <v>4</v>
      </c>
      <c r="F3915">
        <v>16</v>
      </c>
      <c r="H3915" t="s">
        <v>5</v>
      </c>
      <c r="I3915" s="1">
        <v>113.95</v>
      </c>
      <c r="J3915" s="1">
        <v>111.67</v>
      </c>
      <c r="K3915" t="s">
        <v>6</v>
      </c>
    </row>
    <row r="3916" spans="1:12">
      <c r="A3916" t="s">
        <v>3906</v>
      </c>
      <c r="B3916">
        <v>469701</v>
      </c>
      <c r="C3916" s="2" t="str">
        <f>"PICO2-SP"</f>
        <v>PICO2-SP</v>
      </c>
      <c r="D3916" t="s">
        <v>4023</v>
      </c>
      <c r="E3916" t="s">
        <v>4</v>
      </c>
      <c r="F3916">
        <v>15</v>
      </c>
      <c r="H3916" t="s">
        <v>5</v>
      </c>
      <c r="I3916" s="1">
        <v>86.32</v>
      </c>
      <c r="J3916" s="1">
        <v>84.59</v>
      </c>
      <c r="K3916" t="s">
        <v>6</v>
      </c>
    </row>
    <row r="3917" spans="1:12">
      <c r="A3917" t="s">
        <v>3906</v>
      </c>
      <c r="B3917">
        <v>466888</v>
      </c>
      <c r="C3917" s="2" t="str">
        <f>"R101"</f>
        <v>R101</v>
      </c>
      <c r="D3917" t="s">
        <v>4024</v>
      </c>
      <c r="E3917" t="s">
        <v>4</v>
      </c>
      <c r="F3917">
        <v>11.16</v>
      </c>
      <c r="G3917">
        <v>0.31</v>
      </c>
      <c r="H3917" t="s">
        <v>1397</v>
      </c>
      <c r="I3917" s="1">
        <v>3.64</v>
      </c>
      <c r="J3917" s="1">
        <v>3.64</v>
      </c>
      <c r="K3917" t="s">
        <v>3968</v>
      </c>
      <c r="L3917" s="1">
        <v>3.64</v>
      </c>
    </row>
    <row r="3918" spans="1:12">
      <c r="A3918" t="s">
        <v>3906</v>
      </c>
      <c r="B3918">
        <v>466889</v>
      </c>
      <c r="C3918" s="2" t="str">
        <f>"R102"</f>
        <v>R102</v>
      </c>
      <c r="D3918" t="s">
        <v>4025</v>
      </c>
      <c r="E3918" t="s">
        <v>4</v>
      </c>
      <c r="F3918">
        <v>11.16</v>
      </c>
      <c r="G3918">
        <v>0.31</v>
      </c>
      <c r="H3918" t="s">
        <v>1397</v>
      </c>
      <c r="I3918" s="1">
        <v>3.64</v>
      </c>
      <c r="J3918" s="1">
        <v>3.64</v>
      </c>
      <c r="K3918" t="s">
        <v>3968</v>
      </c>
      <c r="L3918" s="1">
        <v>3.64</v>
      </c>
    </row>
    <row r="3919" spans="1:12">
      <c r="A3919" t="s">
        <v>3906</v>
      </c>
      <c r="B3919">
        <v>466890</v>
      </c>
      <c r="C3919" s="2" t="str">
        <f>"R103"</f>
        <v>R103</v>
      </c>
      <c r="D3919" t="s">
        <v>4026</v>
      </c>
      <c r="E3919" t="s">
        <v>4</v>
      </c>
      <c r="F3919">
        <v>11.16</v>
      </c>
      <c r="G3919">
        <v>0.31</v>
      </c>
      <c r="H3919" t="s">
        <v>1397</v>
      </c>
      <c r="I3919" s="1">
        <v>3.64</v>
      </c>
      <c r="J3919" s="1">
        <v>3.64</v>
      </c>
      <c r="K3919" t="s">
        <v>3968</v>
      </c>
      <c r="L3919" s="1">
        <v>3.64</v>
      </c>
    </row>
    <row r="3920" spans="1:12">
      <c r="A3920" t="s">
        <v>3906</v>
      </c>
      <c r="B3920">
        <v>466891</v>
      </c>
      <c r="C3920" s="2" t="str">
        <f>"R104"</f>
        <v>R104</v>
      </c>
      <c r="D3920" t="s">
        <v>4027</v>
      </c>
      <c r="E3920" t="s">
        <v>4</v>
      </c>
      <c r="F3920">
        <v>11.16</v>
      </c>
      <c r="G3920">
        <v>0.31</v>
      </c>
      <c r="H3920" t="s">
        <v>1397</v>
      </c>
      <c r="I3920" s="1">
        <v>3.64</v>
      </c>
      <c r="J3920" s="1">
        <v>3.64</v>
      </c>
      <c r="K3920" t="s">
        <v>3968</v>
      </c>
      <c r="L3920" s="1">
        <v>3.64</v>
      </c>
    </row>
    <row r="3921" spans="1:12">
      <c r="A3921" t="s">
        <v>3906</v>
      </c>
      <c r="B3921">
        <v>466892</v>
      </c>
      <c r="C3921" s="2" t="str">
        <f>"R105"</f>
        <v>R105</v>
      </c>
      <c r="D3921" t="s">
        <v>4028</v>
      </c>
      <c r="E3921" t="s">
        <v>4</v>
      </c>
      <c r="F3921">
        <v>11.16</v>
      </c>
      <c r="G3921">
        <v>0.31</v>
      </c>
      <c r="H3921" t="s">
        <v>1397</v>
      </c>
      <c r="I3921" s="1">
        <v>3.64</v>
      </c>
      <c r="J3921" s="1">
        <v>3.64</v>
      </c>
      <c r="K3921" t="s">
        <v>3968</v>
      </c>
      <c r="L3921" s="1">
        <v>3.64</v>
      </c>
    </row>
    <row r="3922" spans="1:12">
      <c r="A3922" t="s">
        <v>3906</v>
      </c>
      <c r="B3922">
        <v>466893</v>
      </c>
      <c r="C3922" s="2" t="str">
        <f>"R106"</f>
        <v>R106</v>
      </c>
      <c r="D3922" t="s">
        <v>4029</v>
      </c>
      <c r="E3922" t="s">
        <v>4</v>
      </c>
      <c r="F3922">
        <v>11.16</v>
      </c>
      <c r="G3922">
        <v>0.31</v>
      </c>
      <c r="H3922" t="s">
        <v>1397</v>
      </c>
      <c r="I3922" s="1">
        <v>3.64</v>
      </c>
      <c r="J3922" s="1">
        <v>3.64</v>
      </c>
      <c r="K3922" t="s">
        <v>3968</v>
      </c>
      <c r="L3922" s="1">
        <v>3.64</v>
      </c>
    </row>
    <row r="3923" spans="1:12">
      <c r="A3923" t="s">
        <v>3906</v>
      </c>
      <c r="B3923">
        <v>466894</v>
      </c>
      <c r="C3923" s="2" t="str">
        <f>"R107"</f>
        <v>R107</v>
      </c>
      <c r="D3923" t="s">
        <v>4030</v>
      </c>
      <c r="E3923" t="s">
        <v>4</v>
      </c>
      <c r="F3923">
        <v>11.16</v>
      </c>
      <c r="G3923">
        <v>0.31</v>
      </c>
      <c r="H3923" t="s">
        <v>1397</v>
      </c>
      <c r="I3923" s="1">
        <v>3.64</v>
      </c>
      <c r="J3923" s="1">
        <v>3.64</v>
      </c>
      <c r="K3923" t="s">
        <v>3968</v>
      </c>
      <c r="L3923" s="1">
        <v>3.64</v>
      </c>
    </row>
    <row r="3924" spans="1:12">
      <c r="A3924" t="s">
        <v>3906</v>
      </c>
      <c r="B3924">
        <v>467017</v>
      </c>
      <c r="C3924" s="2" t="str">
        <f>"R1KIT"</f>
        <v>R1KIT</v>
      </c>
      <c r="D3924" t="s">
        <v>4031</v>
      </c>
      <c r="E3924" t="s">
        <v>4</v>
      </c>
      <c r="F3924">
        <v>3.42</v>
      </c>
      <c r="H3924" t="s">
        <v>5</v>
      </c>
      <c r="I3924" s="1">
        <v>31.66</v>
      </c>
      <c r="J3924" s="1">
        <v>31.66</v>
      </c>
      <c r="K3924" t="s">
        <v>6</v>
      </c>
    </row>
    <row r="3925" spans="1:12">
      <c r="A3925" t="s">
        <v>3906</v>
      </c>
      <c r="B3925">
        <v>481153</v>
      </c>
      <c r="C3925" s="2" t="str">
        <f>"R2KIT"</f>
        <v>R2KIT</v>
      </c>
      <c r="D3925" t="s">
        <v>4032</v>
      </c>
      <c r="E3925" t="s">
        <v>4</v>
      </c>
      <c r="F3925">
        <v>4</v>
      </c>
      <c r="H3925" t="s">
        <v>5</v>
      </c>
      <c r="I3925" s="1">
        <v>67.540000000000006</v>
      </c>
      <c r="J3925" s="1">
        <v>67.540000000000006</v>
      </c>
      <c r="K3925" t="s">
        <v>6</v>
      </c>
    </row>
    <row r="3926" spans="1:12">
      <c r="A3926" t="s">
        <v>3906</v>
      </c>
      <c r="B3926">
        <v>466880</v>
      </c>
      <c r="C3926" s="2" t="str">
        <f>"R7501"</f>
        <v>R7501</v>
      </c>
      <c r="D3926" t="s">
        <v>4033</v>
      </c>
      <c r="E3926" t="s">
        <v>4</v>
      </c>
      <c r="F3926">
        <v>13.86</v>
      </c>
      <c r="G3926">
        <v>0.33</v>
      </c>
      <c r="H3926" t="s">
        <v>3961</v>
      </c>
      <c r="I3926" s="1">
        <v>3.45</v>
      </c>
      <c r="J3926" s="1">
        <v>3.45</v>
      </c>
      <c r="K3926" t="s">
        <v>3962</v>
      </c>
      <c r="L3926" s="1">
        <v>3.45</v>
      </c>
    </row>
    <row r="3927" spans="1:12">
      <c r="A3927" t="s">
        <v>3906</v>
      </c>
      <c r="B3927">
        <v>466882</v>
      </c>
      <c r="C3927" s="2" t="str">
        <f>"R7502"</f>
        <v>R7502</v>
      </c>
      <c r="D3927" t="s">
        <v>4034</v>
      </c>
      <c r="E3927" t="s">
        <v>4</v>
      </c>
      <c r="F3927">
        <v>13.86</v>
      </c>
      <c r="G3927">
        <v>0.33</v>
      </c>
      <c r="H3927" t="s">
        <v>3961</v>
      </c>
      <c r="I3927" s="1">
        <v>3.45</v>
      </c>
      <c r="J3927" s="1">
        <v>3.45</v>
      </c>
      <c r="K3927" t="s">
        <v>3962</v>
      </c>
      <c r="L3927" s="1">
        <v>3.45</v>
      </c>
    </row>
    <row r="3928" spans="1:12">
      <c r="A3928" t="s">
        <v>3906</v>
      </c>
      <c r="B3928">
        <v>466883</v>
      </c>
      <c r="C3928" s="2" t="str">
        <f>"R7503"</f>
        <v>R7503</v>
      </c>
      <c r="D3928" t="s">
        <v>4035</v>
      </c>
      <c r="E3928" t="s">
        <v>4</v>
      </c>
      <c r="F3928">
        <v>13.86</v>
      </c>
      <c r="G3928">
        <v>0.33</v>
      </c>
      <c r="H3928" t="s">
        <v>3961</v>
      </c>
      <c r="I3928" s="1">
        <v>3.45</v>
      </c>
      <c r="J3928" s="1">
        <v>3.45</v>
      </c>
      <c r="K3928" t="s">
        <v>3962</v>
      </c>
      <c r="L3928" s="1">
        <v>3.45</v>
      </c>
    </row>
    <row r="3929" spans="1:12">
      <c r="A3929" t="s">
        <v>3906</v>
      </c>
      <c r="B3929">
        <v>466884</v>
      </c>
      <c r="C3929" s="2" t="str">
        <f>"R7504"</f>
        <v>R7504</v>
      </c>
      <c r="D3929" t="s">
        <v>4036</v>
      </c>
      <c r="E3929" t="s">
        <v>4</v>
      </c>
      <c r="F3929">
        <v>13.86</v>
      </c>
      <c r="G3929">
        <v>0.33</v>
      </c>
      <c r="H3929" t="s">
        <v>3961</v>
      </c>
      <c r="I3929" s="1">
        <v>3.45</v>
      </c>
      <c r="J3929" s="1">
        <v>3.45</v>
      </c>
      <c r="K3929" t="s">
        <v>3962</v>
      </c>
      <c r="L3929" s="1">
        <v>3.45</v>
      </c>
    </row>
    <row r="3930" spans="1:12">
      <c r="A3930" t="s">
        <v>3906</v>
      </c>
      <c r="B3930">
        <v>466885</v>
      </c>
      <c r="C3930" s="2" t="str">
        <f>"R7505"</f>
        <v>R7505</v>
      </c>
      <c r="D3930" t="s">
        <v>4037</v>
      </c>
      <c r="E3930" t="s">
        <v>4</v>
      </c>
      <c r="F3930">
        <v>13.86</v>
      </c>
      <c r="G3930">
        <v>0.33</v>
      </c>
      <c r="H3930" t="s">
        <v>3961</v>
      </c>
      <c r="I3930" s="1">
        <v>3.45</v>
      </c>
      <c r="J3930" s="1">
        <v>3.45</v>
      </c>
      <c r="K3930" t="s">
        <v>3962</v>
      </c>
      <c r="L3930" s="1">
        <v>3.45</v>
      </c>
    </row>
    <row r="3931" spans="1:12">
      <c r="A3931" t="s">
        <v>3906</v>
      </c>
      <c r="B3931">
        <v>466886</v>
      </c>
      <c r="C3931" s="2" t="str">
        <f>"R7506"</f>
        <v>R7506</v>
      </c>
      <c r="D3931" t="s">
        <v>4038</v>
      </c>
      <c r="E3931" t="s">
        <v>4</v>
      </c>
      <c r="F3931">
        <v>13.86</v>
      </c>
      <c r="G3931">
        <v>0.33</v>
      </c>
      <c r="H3931" t="s">
        <v>3961</v>
      </c>
      <c r="I3931" s="1">
        <v>3.45</v>
      </c>
      <c r="J3931" s="1">
        <v>3.45</v>
      </c>
      <c r="K3931" t="s">
        <v>3962</v>
      </c>
      <c r="L3931" s="1">
        <v>3.45</v>
      </c>
    </row>
    <row r="3932" spans="1:12">
      <c r="A3932" t="s">
        <v>3906</v>
      </c>
      <c r="B3932">
        <v>466887</v>
      </c>
      <c r="C3932" s="2" t="str">
        <f>"R7507"</f>
        <v>R7507</v>
      </c>
      <c r="D3932" t="s">
        <v>4039</v>
      </c>
      <c r="E3932" t="s">
        <v>4</v>
      </c>
      <c r="F3932">
        <v>13.86</v>
      </c>
      <c r="G3932">
        <v>0.33</v>
      </c>
      <c r="H3932" t="s">
        <v>3961</v>
      </c>
      <c r="I3932" s="1">
        <v>3.45</v>
      </c>
      <c r="J3932" s="1">
        <v>3.45</v>
      </c>
      <c r="K3932" t="s">
        <v>3962</v>
      </c>
      <c r="L3932" s="1">
        <v>3.45</v>
      </c>
    </row>
    <row r="3933" spans="1:12">
      <c r="A3933" t="s">
        <v>3906</v>
      </c>
      <c r="B3933">
        <v>466897</v>
      </c>
      <c r="C3933" s="2" t="str">
        <f>"RIDU2301"</f>
        <v>RIDU2301</v>
      </c>
      <c r="D3933" t="s">
        <v>4040</v>
      </c>
      <c r="E3933" t="s">
        <v>4</v>
      </c>
      <c r="F3933">
        <v>16.02</v>
      </c>
      <c r="G3933">
        <v>0.89</v>
      </c>
      <c r="H3933" t="s">
        <v>4041</v>
      </c>
      <c r="I3933" s="1">
        <v>8.1300000000000008</v>
      </c>
      <c r="J3933" s="1">
        <v>8.1300000000000008</v>
      </c>
      <c r="K3933" t="s">
        <v>3978</v>
      </c>
      <c r="L3933" s="1">
        <v>8.1300000000000008</v>
      </c>
    </row>
    <row r="3934" spans="1:12">
      <c r="A3934" t="s">
        <v>3906</v>
      </c>
      <c r="B3934">
        <v>466903</v>
      </c>
      <c r="C3934" s="2" t="str">
        <f>"RIDU2302"</f>
        <v>RIDU2302</v>
      </c>
      <c r="D3934" t="s">
        <v>4042</v>
      </c>
      <c r="E3934" t="s">
        <v>4</v>
      </c>
      <c r="F3934">
        <v>16.02</v>
      </c>
      <c r="G3934">
        <v>0.89</v>
      </c>
      <c r="H3934" t="s">
        <v>4041</v>
      </c>
      <c r="I3934" s="1">
        <v>8.1300000000000008</v>
      </c>
      <c r="J3934" s="1">
        <v>8.1300000000000008</v>
      </c>
      <c r="K3934" t="s">
        <v>3978</v>
      </c>
      <c r="L3934" s="1">
        <v>8.1300000000000008</v>
      </c>
    </row>
    <row r="3935" spans="1:12">
      <c r="A3935" t="s">
        <v>3906</v>
      </c>
      <c r="B3935">
        <v>466904</v>
      </c>
      <c r="C3935" s="2" t="str">
        <f>"RIDU2303"</f>
        <v>RIDU2303</v>
      </c>
      <c r="D3935" t="s">
        <v>4043</v>
      </c>
      <c r="E3935" t="s">
        <v>4</v>
      </c>
      <c r="F3935">
        <v>16.02</v>
      </c>
      <c r="G3935">
        <v>0.89</v>
      </c>
      <c r="H3935" t="s">
        <v>4041</v>
      </c>
      <c r="I3935" s="1">
        <v>8.1300000000000008</v>
      </c>
      <c r="J3935" s="1">
        <v>8.1300000000000008</v>
      </c>
      <c r="K3935" t="s">
        <v>3978</v>
      </c>
      <c r="L3935" s="1">
        <v>8.1300000000000008</v>
      </c>
    </row>
    <row r="3936" spans="1:12">
      <c r="A3936" t="s">
        <v>3906</v>
      </c>
      <c r="B3936">
        <v>466907</v>
      </c>
      <c r="C3936" s="2" t="str">
        <f>"RIDU2304"</f>
        <v>RIDU2304</v>
      </c>
      <c r="D3936" t="s">
        <v>4044</v>
      </c>
      <c r="E3936" t="s">
        <v>4</v>
      </c>
      <c r="F3936">
        <v>16.02</v>
      </c>
      <c r="G3936">
        <v>0.89</v>
      </c>
      <c r="H3936" t="s">
        <v>4041</v>
      </c>
      <c r="I3936" s="1">
        <v>8.1300000000000008</v>
      </c>
      <c r="J3936" s="1">
        <v>8.1300000000000008</v>
      </c>
      <c r="K3936" t="s">
        <v>3978</v>
      </c>
      <c r="L3936" s="1">
        <v>8.1300000000000008</v>
      </c>
    </row>
    <row r="3937" spans="1:12">
      <c r="A3937" t="s">
        <v>3906</v>
      </c>
      <c r="B3937">
        <v>466908</v>
      </c>
      <c r="C3937" s="2" t="str">
        <f>"RIDU2305"</f>
        <v>RIDU2305</v>
      </c>
      <c r="D3937" t="s">
        <v>4045</v>
      </c>
      <c r="E3937" t="s">
        <v>4</v>
      </c>
      <c r="F3937">
        <v>16.02</v>
      </c>
      <c r="G3937">
        <v>0.89</v>
      </c>
      <c r="H3937" t="s">
        <v>4041</v>
      </c>
      <c r="I3937" s="1">
        <v>8.1300000000000008</v>
      </c>
      <c r="J3937" s="1">
        <v>8.1300000000000008</v>
      </c>
      <c r="K3937" t="s">
        <v>3978</v>
      </c>
      <c r="L3937" s="1">
        <v>8.1300000000000008</v>
      </c>
    </row>
    <row r="3938" spans="1:12">
      <c r="A3938" t="s">
        <v>3906</v>
      </c>
      <c r="B3938">
        <v>466909</v>
      </c>
      <c r="C3938" s="2" t="str">
        <f>"RIDU2306"</f>
        <v>RIDU2306</v>
      </c>
      <c r="D3938" t="s">
        <v>4046</v>
      </c>
      <c r="E3938" t="s">
        <v>4</v>
      </c>
      <c r="F3938">
        <v>16.02</v>
      </c>
      <c r="G3938">
        <v>0.89</v>
      </c>
      <c r="H3938" t="s">
        <v>4041</v>
      </c>
      <c r="I3938" s="1">
        <v>8.1300000000000008</v>
      </c>
      <c r="J3938" s="1">
        <v>8.1300000000000008</v>
      </c>
      <c r="K3938" t="s">
        <v>3978</v>
      </c>
      <c r="L3938" s="1">
        <v>8.1300000000000008</v>
      </c>
    </row>
    <row r="3939" spans="1:12">
      <c r="A3939" t="s">
        <v>3906</v>
      </c>
      <c r="B3939">
        <v>466910</v>
      </c>
      <c r="C3939" s="2" t="str">
        <f>"RIDU2307"</f>
        <v>RIDU2307</v>
      </c>
      <c r="D3939" t="s">
        <v>4047</v>
      </c>
      <c r="E3939" t="s">
        <v>4</v>
      </c>
      <c r="F3939">
        <v>16.02</v>
      </c>
      <c r="G3939">
        <v>0.89</v>
      </c>
      <c r="H3939" t="s">
        <v>4041</v>
      </c>
      <c r="I3939" s="1">
        <v>8.1300000000000008</v>
      </c>
      <c r="J3939" s="1">
        <v>8.1300000000000008</v>
      </c>
      <c r="K3939" t="s">
        <v>3978</v>
      </c>
      <c r="L3939" s="1">
        <v>8.1300000000000008</v>
      </c>
    </row>
    <row r="3940" spans="1:12">
      <c r="A3940" t="s">
        <v>3906</v>
      </c>
      <c r="B3940">
        <v>466925</v>
      </c>
      <c r="C3940" s="2" t="str">
        <f>"RIPU24"</f>
        <v>RIPU24</v>
      </c>
      <c r="D3940" t="s">
        <v>4048</v>
      </c>
      <c r="E3940" t="s">
        <v>4</v>
      </c>
      <c r="F3940">
        <v>14.04</v>
      </c>
      <c r="G3940">
        <v>1.17</v>
      </c>
      <c r="H3940" t="s">
        <v>106</v>
      </c>
      <c r="I3940" s="1">
        <v>8.91</v>
      </c>
      <c r="J3940" s="1">
        <v>8.91</v>
      </c>
      <c r="K3940" t="s">
        <v>3978</v>
      </c>
      <c r="L3940" s="1">
        <v>8.91</v>
      </c>
    </row>
    <row r="3941" spans="1:12">
      <c r="A3941" t="s">
        <v>3906</v>
      </c>
      <c r="B3941">
        <v>466911</v>
      </c>
      <c r="C3941" s="2" t="str">
        <f>"RP12"</f>
        <v>RP12</v>
      </c>
      <c r="D3941" t="s">
        <v>4049</v>
      </c>
      <c r="E3941" t="s">
        <v>4</v>
      </c>
      <c r="F3941">
        <v>12.96</v>
      </c>
      <c r="G3941">
        <v>0.72</v>
      </c>
      <c r="H3941" t="s">
        <v>4041</v>
      </c>
      <c r="I3941" s="1">
        <v>5.66</v>
      </c>
      <c r="J3941" s="1">
        <v>5.66</v>
      </c>
      <c r="K3941" t="s">
        <v>3978</v>
      </c>
      <c r="L3941" s="1">
        <v>5.66</v>
      </c>
    </row>
    <row r="3942" spans="1:12">
      <c r="A3942" t="s">
        <v>3906</v>
      </c>
      <c r="B3942">
        <v>466923</v>
      </c>
      <c r="C3942" s="2" t="str">
        <f>"RP24"</f>
        <v>RP24</v>
      </c>
      <c r="D3942" t="s">
        <v>4050</v>
      </c>
      <c r="E3942" t="s">
        <v>4</v>
      </c>
      <c r="F3942">
        <v>14.04</v>
      </c>
      <c r="G3942">
        <v>1.17</v>
      </c>
      <c r="H3942" t="s">
        <v>106</v>
      </c>
      <c r="I3942" s="1">
        <v>8.91</v>
      </c>
      <c r="J3942" s="1">
        <v>8.91</v>
      </c>
      <c r="K3942" t="s">
        <v>3978</v>
      </c>
      <c r="L3942" s="1">
        <v>8.91</v>
      </c>
    </row>
    <row r="3943" spans="1:12">
      <c r="A3943" t="s">
        <v>3906</v>
      </c>
      <c r="B3943">
        <v>466924</v>
      </c>
      <c r="C3943" s="2" t="str">
        <f>"RSL24"</f>
        <v>RSL24</v>
      </c>
      <c r="D3943" t="s">
        <v>4051</v>
      </c>
      <c r="E3943" t="s">
        <v>4</v>
      </c>
      <c r="F3943">
        <v>14.04</v>
      </c>
      <c r="G3943">
        <v>1.17</v>
      </c>
      <c r="H3943" t="s">
        <v>106</v>
      </c>
      <c r="I3943" s="1">
        <v>8.91</v>
      </c>
      <c r="J3943" s="1">
        <v>8.91</v>
      </c>
      <c r="K3943" t="s">
        <v>3978</v>
      </c>
      <c r="L3943" s="1">
        <v>8.91</v>
      </c>
    </row>
    <row r="3944" spans="1:12">
      <c r="A3944" t="s">
        <v>3906</v>
      </c>
      <c r="B3944">
        <v>466896</v>
      </c>
      <c r="C3944" s="2" t="str">
        <f>"RUB3"</f>
        <v>RUB3</v>
      </c>
      <c r="D3944" t="s">
        <v>4052</v>
      </c>
      <c r="E3944" t="s">
        <v>4</v>
      </c>
      <c r="F3944">
        <v>19.98</v>
      </c>
      <c r="G3944">
        <v>1.1100000000000001</v>
      </c>
      <c r="H3944" t="s">
        <v>4041</v>
      </c>
      <c r="I3944" s="1">
        <v>8</v>
      </c>
      <c r="J3944" s="1">
        <v>8</v>
      </c>
      <c r="K3944" t="s">
        <v>3978</v>
      </c>
      <c r="L3944" s="1">
        <v>8</v>
      </c>
    </row>
    <row r="3945" spans="1:12">
      <c r="A3945" t="s">
        <v>3906</v>
      </c>
      <c r="B3945">
        <v>466895</v>
      </c>
      <c r="C3945" s="2" t="str">
        <f>"RUF2"</f>
        <v>RUF2</v>
      </c>
      <c r="D3945" t="s">
        <v>4053</v>
      </c>
      <c r="E3945" t="s">
        <v>4</v>
      </c>
      <c r="F3945">
        <v>12.96</v>
      </c>
      <c r="G3945">
        <v>0.54</v>
      </c>
      <c r="H3945" t="s">
        <v>666</v>
      </c>
      <c r="I3945" s="1">
        <v>5.27</v>
      </c>
      <c r="J3945" s="1">
        <v>5.27</v>
      </c>
      <c r="K3945" t="s">
        <v>3978</v>
      </c>
      <c r="L3945" s="1">
        <v>5.27</v>
      </c>
    </row>
    <row r="3946" spans="1:12">
      <c r="A3946" t="s">
        <v>3906</v>
      </c>
      <c r="B3946">
        <v>369506</v>
      </c>
      <c r="C3946" s="2" t="str">
        <f>"S3616"</f>
        <v>S3616</v>
      </c>
      <c r="D3946" t="s">
        <v>4054</v>
      </c>
      <c r="E3946" t="s">
        <v>4</v>
      </c>
      <c r="F3946">
        <v>12</v>
      </c>
      <c r="H3946" t="s">
        <v>5</v>
      </c>
      <c r="I3946" s="1">
        <v>28.08</v>
      </c>
      <c r="J3946" s="1">
        <v>27.52</v>
      </c>
      <c r="K3946" t="s">
        <v>6</v>
      </c>
    </row>
    <row r="3947" spans="1:12">
      <c r="A3947" t="s">
        <v>3906</v>
      </c>
      <c r="B3947">
        <v>392973</v>
      </c>
      <c r="C3947" s="2" t="str">
        <f>"S3674"</f>
        <v>S3674</v>
      </c>
      <c r="D3947" t="s">
        <v>3986</v>
      </c>
      <c r="E3947" t="s">
        <v>4</v>
      </c>
      <c r="F3947">
        <v>13</v>
      </c>
      <c r="H3947" t="s">
        <v>5</v>
      </c>
      <c r="I3947" s="1">
        <v>32.11</v>
      </c>
      <c r="J3947" s="1">
        <v>31.47</v>
      </c>
      <c r="K3947" t="s">
        <v>6</v>
      </c>
    </row>
    <row r="3948" spans="1:12">
      <c r="A3948" t="s">
        <v>3906</v>
      </c>
      <c r="B3948">
        <v>369509</v>
      </c>
      <c r="C3948" s="2" t="str">
        <f>"S6000"</f>
        <v>S6000</v>
      </c>
      <c r="D3948" t="s">
        <v>4055</v>
      </c>
      <c r="E3948" t="s">
        <v>4</v>
      </c>
      <c r="F3948">
        <v>19</v>
      </c>
      <c r="H3948" t="s">
        <v>5</v>
      </c>
      <c r="I3948" s="1">
        <v>28.99</v>
      </c>
      <c r="J3948" s="1">
        <v>28.41</v>
      </c>
      <c r="K3948" t="s">
        <v>6</v>
      </c>
    </row>
    <row r="3949" spans="1:12">
      <c r="A3949" t="s">
        <v>3906</v>
      </c>
      <c r="B3949">
        <v>409274</v>
      </c>
      <c r="C3949" s="2" t="str">
        <f>"T3624SP"</f>
        <v>T3624SP</v>
      </c>
      <c r="D3949" t="s">
        <v>4056</v>
      </c>
      <c r="E3949" t="s">
        <v>4</v>
      </c>
      <c r="F3949">
        <v>17</v>
      </c>
      <c r="H3949" t="s">
        <v>5</v>
      </c>
      <c r="I3949" s="1">
        <v>41.93</v>
      </c>
      <c r="J3949" s="1">
        <v>41.09</v>
      </c>
      <c r="K3949" t="s">
        <v>6</v>
      </c>
    </row>
    <row r="3950" spans="1:12">
      <c r="A3950" t="s">
        <v>3906</v>
      </c>
      <c r="B3950">
        <v>369398</v>
      </c>
      <c r="C3950" s="2" t="str">
        <f>"T4797BK"</f>
        <v>T4797BK</v>
      </c>
      <c r="D3950" t="s">
        <v>4057</v>
      </c>
      <c r="E3950" t="s">
        <v>4</v>
      </c>
      <c r="F3950">
        <v>16</v>
      </c>
      <c r="H3950" t="s">
        <v>5</v>
      </c>
      <c r="I3950" s="1">
        <v>88.47</v>
      </c>
      <c r="J3950" s="1">
        <v>86.7</v>
      </c>
      <c r="K3950" t="s">
        <v>6</v>
      </c>
    </row>
    <row r="3951" spans="1:12">
      <c r="A3951" t="s">
        <v>3906</v>
      </c>
      <c r="B3951">
        <v>369412</v>
      </c>
      <c r="C3951" s="2" t="str">
        <f>"T4797SP"</f>
        <v>T4797SP</v>
      </c>
      <c r="D3951" t="s">
        <v>4058</v>
      </c>
      <c r="E3951" t="s">
        <v>4</v>
      </c>
      <c r="F3951">
        <v>18</v>
      </c>
      <c r="H3951" t="s">
        <v>5</v>
      </c>
      <c r="I3951" s="1">
        <v>75.599999999999994</v>
      </c>
      <c r="J3951" s="1">
        <v>74.08</v>
      </c>
      <c r="K3951" t="s">
        <v>6</v>
      </c>
    </row>
    <row r="3952" spans="1:12">
      <c r="A3952" t="s">
        <v>3906</v>
      </c>
      <c r="B3952">
        <v>369419</v>
      </c>
      <c r="C3952" s="2" t="str">
        <f>"T4920SP"</f>
        <v>T4920SP</v>
      </c>
      <c r="D3952" t="s">
        <v>4059</v>
      </c>
      <c r="E3952" t="s">
        <v>4</v>
      </c>
      <c r="F3952">
        <v>16</v>
      </c>
      <c r="H3952" t="s">
        <v>5</v>
      </c>
      <c r="I3952" s="1">
        <v>70.069999999999993</v>
      </c>
      <c r="J3952" s="1">
        <v>68.67</v>
      </c>
      <c r="K3952" t="s">
        <v>6</v>
      </c>
    </row>
    <row r="3953" spans="1:11">
      <c r="A3953" t="s">
        <v>3906</v>
      </c>
      <c r="B3953">
        <v>369478</v>
      </c>
      <c r="C3953" s="2" t="str">
        <f>"T4932SP"</f>
        <v>T4932SP</v>
      </c>
      <c r="D3953" t="s">
        <v>4060</v>
      </c>
      <c r="E3953" t="s">
        <v>4</v>
      </c>
      <c r="F3953">
        <v>15</v>
      </c>
      <c r="H3953" t="s">
        <v>5</v>
      </c>
      <c r="I3953" s="1">
        <v>43.36</v>
      </c>
      <c r="J3953" s="1">
        <v>42.49</v>
      </c>
      <c r="K3953" t="s">
        <v>6</v>
      </c>
    </row>
    <row r="3954" spans="1:11">
      <c r="A3954" t="s">
        <v>3906</v>
      </c>
      <c r="B3954">
        <v>412453</v>
      </c>
      <c r="C3954" s="2" t="str">
        <f>"T4997-3SP"</f>
        <v>T4997-3SP</v>
      </c>
      <c r="D3954" t="s">
        <v>4061</v>
      </c>
      <c r="E3954" t="s">
        <v>4</v>
      </c>
      <c r="F3954">
        <v>24</v>
      </c>
      <c r="H3954" t="s">
        <v>5</v>
      </c>
      <c r="I3954" s="1">
        <v>119.15</v>
      </c>
      <c r="J3954" s="1">
        <v>116.76</v>
      </c>
      <c r="K3954" t="s">
        <v>6</v>
      </c>
    </row>
    <row r="3955" spans="1:11">
      <c r="A3955" t="s">
        <v>3906</v>
      </c>
      <c r="B3955">
        <v>369000</v>
      </c>
      <c r="C3955" s="2" t="str">
        <f>"T4997BK"</f>
        <v>T4997BK</v>
      </c>
      <c r="D3955" t="s">
        <v>4062</v>
      </c>
      <c r="E3955" t="s">
        <v>4</v>
      </c>
      <c r="F3955">
        <v>20</v>
      </c>
      <c r="H3955" t="s">
        <v>5</v>
      </c>
      <c r="I3955" s="1">
        <v>95.1</v>
      </c>
      <c r="J3955" s="1">
        <v>93.19</v>
      </c>
      <c r="K3955" t="s">
        <v>6</v>
      </c>
    </row>
    <row r="3956" spans="1:11">
      <c r="A3956" t="s">
        <v>3906</v>
      </c>
      <c r="B3956">
        <v>412454</v>
      </c>
      <c r="C3956" s="2" t="str">
        <f>"T4997SP"</f>
        <v>T4997SP</v>
      </c>
      <c r="D3956" t="s">
        <v>4063</v>
      </c>
      <c r="E3956" t="s">
        <v>4</v>
      </c>
      <c r="F3956">
        <v>18</v>
      </c>
      <c r="H3956" t="s">
        <v>5</v>
      </c>
      <c r="I3956" s="1">
        <v>80.8</v>
      </c>
      <c r="J3956" s="1">
        <v>79.180000000000007</v>
      </c>
      <c r="K3956" t="s">
        <v>6</v>
      </c>
    </row>
    <row r="3957" spans="1:11">
      <c r="A3957" t="s">
        <v>3906</v>
      </c>
      <c r="B3957">
        <v>472052</v>
      </c>
      <c r="C3957" s="2" t="str">
        <f>"TC8511-3"</f>
        <v>TC8511-3</v>
      </c>
      <c r="D3957" t="s">
        <v>4064</v>
      </c>
      <c r="E3957" t="s">
        <v>4</v>
      </c>
      <c r="F3957">
        <v>16</v>
      </c>
      <c r="H3957" t="s">
        <v>5</v>
      </c>
      <c r="I3957" s="1">
        <v>46.22</v>
      </c>
      <c r="J3957" s="1">
        <v>46.22</v>
      </c>
      <c r="K3957" t="s">
        <v>6</v>
      </c>
    </row>
    <row r="3958" spans="1:11">
      <c r="A3958" t="s">
        <v>4065</v>
      </c>
      <c r="B3958">
        <v>423269</v>
      </c>
      <c r="C3958" s="2" t="str">
        <f>"428-8"</f>
        <v>428-8</v>
      </c>
      <c r="D3958" t="s">
        <v>4066</v>
      </c>
      <c r="E3958" t="s">
        <v>4</v>
      </c>
      <c r="F3958">
        <v>0.6</v>
      </c>
      <c r="H3958" t="s">
        <v>5</v>
      </c>
      <c r="I3958" s="1">
        <v>32.18</v>
      </c>
      <c r="J3958" s="1">
        <v>30.57</v>
      </c>
      <c r="K3958" t="s">
        <v>6</v>
      </c>
    </row>
    <row r="3959" spans="1:11">
      <c r="A3959" t="s">
        <v>4065</v>
      </c>
      <c r="B3959">
        <v>423265</v>
      </c>
      <c r="C3959" s="2" t="str">
        <f>"436-1"</f>
        <v>436-1</v>
      </c>
      <c r="D3959" t="s">
        <v>4067</v>
      </c>
      <c r="E3959" t="s">
        <v>4</v>
      </c>
      <c r="F3959">
        <v>0.6</v>
      </c>
      <c r="H3959" t="s">
        <v>5</v>
      </c>
      <c r="I3959" s="1">
        <v>46.15</v>
      </c>
      <c r="J3959" s="1">
        <v>43.84</v>
      </c>
      <c r="K3959" t="s">
        <v>6</v>
      </c>
    </row>
    <row r="3960" spans="1:11">
      <c r="A3960" t="s">
        <v>4065</v>
      </c>
      <c r="B3960">
        <v>423266</v>
      </c>
      <c r="C3960" s="2" t="str">
        <f>"436-2"</f>
        <v>436-2</v>
      </c>
      <c r="D3960" t="s">
        <v>4068</v>
      </c>
      <c r="E3960" t="s">
        <v>4</v>
      </c>
      <c r="F3960">
        <v>0.6</v>
      </c>
      <c r="H3960" t="s">
        <v>5</v>
      </c>
      <c r="I3960" s="1">
        <v>43.36</v>
      </c>
      <c r="J3960" s="1">
        <v>41.19</v>
      </c>
      <c r="K3960" t="s">
        <v>6</v>
      </c>
    </row>
    <row r="3961" spans="1:11">
      <c r="A3961" t="s">
        <v>4065</v>
      </c>
      <c r="B3961">
        <v>423270</v>
      </c>
      <c r="C3961" s="2" t="str">
        <f>"466-1"</f>
        <v>466-1</v>
      </c>
      <c r="D3961" t="s">
        <v>4069</v>
      </c>
      <c r="E3961" t="s">
        <v>4</v>
      </c>
      <c r="F3961">
        <v>0.6</v>
      </c>
      <c r="H3961" t="s">
        <v>5</v>
      </c>
      <c r="I3961" s="1">
        <v>26.59</v>
      </c>
      <c r="J3961" s="1">
        <v>25.26</v>
      </c>
      <c r="K3961" t="s">
        <v>6</v>
      </c>
    </row>
    <row r="3962" spans="1:11">
      <c r="A3962" t="s">
        <v>4065</v>
      </c>
      <c r="B3962">
        <v>423271</v>
      </c>
      <c r="C3962" s="2" t="str">
        <f>"466-2"</f>
        <v>466-2</v>
      </c>
      <c r="D3962" t="s">
        <v>4070</v>
      </c>
      <c r="E3962" t="s">
        <v>4</v>
      </c>
      <c r="F3962">
        <v>0.6</v>
      </c>
      <c r="H3962" t="s">
        <v>5</v>
      </c>
      <c r="I3962" s="1">
        <v>26.59</v>
      </c>
      <c r="J3962" s="1">
        <v>25.26</v>
      </c>
      <c r="K3962" t="s">
        <v>6</v>
      </c>
    </row>
    <row r="3963" spans="1:11">
      <c r="A3963" t="s">
        <v>4065</v>
      </c>
      <c r="B3963">
        <v>431514</v>
      </c>
      <c r="C3963" s="2" t="str">
        <f>"55417"</f>
        <v>55417</v>
      </c>
      <c r="D3963" t="s">
        <v>4071</v>
      </c>
      <c r="E3963" t="s">
        <v>4</v>
      </c>
      <c r="F3963">
        <v>1</v>
      </c>
      <c r="H3963" t="s">
        <v>5</v>
      </c>
      <c r="I3963" s="1">
        <v>15.6</v>
      </c>
      <c r="J3963" s="1">
        <v>14.82</v>
      </c>
      <c r="K3963" t="s">
        <v>6</v>
      </c>
    </row>
    <row r="3964" spans="1:11">
      <c r="A3964" t="s">
        <v>4065</v>
      </c>
      <c r="B3964">
        <v>459651</v>
      </c>
      <c r="C3964" s="2" t="str">
        <f>"55424-2"</f>
        <v>55424-2</v>
      </c>
      <c r="D3964" t="s">
        <v>4072</v>
      </c>
      <c r="E3964" t="s">
        <v>4</v>
      </c>
      <c r="F3964">
        <v>1</v>
      </c>
      <c r="H3964" t="s">
        <v>5</v>
      </c>
      <c r="I3964" s="1">
        <v>72.150000000000006</v>
      </c>
      <c r="J3964" s="1">
        <v>68.540000000000006</v>
      </c>
      <c r="K3964" t="s">
        <v>6</v>
      </c>
    </row>
    <row r="3965" spans="1:11">
      <c r="A3965" t="s">
        <v>4065</v>
      </c>
      <c r="B3965">
        <v>459657</v>
      </c>
      <c r="C3965" s="2" t="str">
        <f>"55727-8"</f>
        <v>55727-8</v>
      </c>
      <c r="D3965" t="s">
        <v>4073</v>
      </c>
      <c r="E3965" t="s">
        <v>4</v>
      </c>
      <c r="F3965">
        <v>4</v>
      </c>
      <c r="H3965" t="s">
        <v>5</v>
      </c>
      <c r="I3965" s="1">
        <v>72.8</v>
      </c>
      <c r="J3965" s="1">
        <v>69.16</v>
      </c>
      <c r="K3965" t="s">
        <v>6</v>
      </c>
    </row>
    <row r="3966" spans="1:11">
      <c r="A3966" t="s">
        <v>4065</v>
      </c>
      <c r="B3966">
        <v>457653</v>
      </c>
      <c r="C3966" s="2" t="str">
        <f>"56029"</f>
        <v>56029</v>
      </c>
      <c r="D3966" t="s">
        <v>4074</v>
      </c>
      <c r="E3966" t="s">
        <v>4</v>
      </c>
      <c r="F3966">
        <v>1</v>
      </c>
      <c r="H3966" t="s">
        <v>5</v>
      </c>
      <c r="I3966" s="1">
        <v>20.8</v>
      </c>
      <c r="J3966" s="1">
        <v>19.760000000000002</v>
      </c>
      <c r="K3966" t="s">
        <v>6</v>
      </c>
    </row>
    <row r="3967" spans="1:11">
      <c r="A3967" t="s">
        <v>4065</v>
      </c>
      <c r="B3967">
        <v>453582</v>
      </c>
      <c r="C3967" s="2" t="str">
        <f>"56050-1"</f>
        <v>56050-1</v>
      </c>
      <c r="D3967" t="s">
        <v>4075</v>
      </c>
      <c r="E3967" t="s">
        <v>4</v>
      </c>
      <c r="F3967">
        <v>4</v>
      </c>
      <c r="H3967" t="s">
        <v>5</v>
      </c>
      <c r="I3967" s="1">
        <v>293.8</v>
      </c>
      <c r="J3967" s="1">
        <v>279.11</v>
      </c>
      <c r="K3967" t="s">
        <v>6</v>
      </c>
    </row>
    <row r="3968" spans="1:11">
      <c r="A3968" t="s">
        <v>4065</v>
      </c>
      <c r="B3968">
        <v>457670</v>
      </c>
      <c r="C3968" s="2" t="str">
        <f>"56500-1"</f>
        <v>56500-1</v>
      </c>
      <c r="D3968" t="s">
        <v>4076</v>
      </c>
      <c r="E3968" t="s">
        <v>4</v>
      </c>
      <c r="F3968">
        <v>11</v>
      </c>
      <c r="H3968" t="s">
        <v>5</v>
      </c>
      <c r="I3968" s="1">
        <v>222.95</v>
      </c>
      <c r="J3968" s="1">
        <v>211.8</v>
      </c>
      <c r="K3968" t="s">
        <v>6</v>
      </c>
    </row>
    <row r="3969" spans="1:11">
      <c r="A3969" t="s">
        <v>4065</v>
      </c>
      <c r="B3969">
        <v>432435</v>
      </c>
      <c r="C3969" s="2" t="str">
        <f>"56500-2"</f>
        <v>56500-2</v>
      </c>
      <c r="D3969" t="s">
        <v>4077</v>
      </c>
      <c r="E3969" t="s">
        <v>4</v>
      </c>
      <c r="F3969">
        <v>11</v>
      </c>
      <c r="H3969" t="s">
        <v>5</v>
      </c>
      <c r="I3969" s="1">
        <v>222.95</v>
      </c>
      <c r="J3969" s="1">
        <v>211.8</v>
      </c>
      <c r="K3969" t="s">
        <v>6</v>
      </c>
    </row>
    <row r="3970" spans="1:11">
      <c r="A3970" t="s">
        <v>4065</v>
      </c>
      <c r="B3970">
        <v>476272</v>
      </c>
      <c r="C3970" s="2" t="str">
        <f>"56600-1"</f>
        <v>56600-1</v>
      </c>
      <c r="D3970" t="s">
        <v>4078</v>
      </c>
      <c r="E3970" t="s">
        <v>4</v>
      </c>
      <c r="F3970">
        <v>11</v>
      </c>
      <c r="H3970" t="s">
        <v>5</v>
      </c>
      <c r="I3970" s="1">
        <v>292.5</v>
      </c>
      <c r="J3970" s="1">
        <v>277.88</v>
      </c>
      <c r="K3970" t="s">
        <v>6</v>
      </c>
    </row>
    <row r="3971" spans="1:11">
      <c r="A3971" t="s">
        <v>4065</v>
      </c>
      <c r="B3971">
        <v>423083</v>
      </c>
      <c r="C3971" s="2" t="str">
        <f>"6000A-02"</f>
        <v>6000A-02</v>
      </c>
      <c r="D3971" t="s">
        <v>4079</v>
      </c>
      <c r="E3971" t="s">
        <v>4</v>
      </c>
      <c r="F3971">
        <v>10</v>
      </c>
      <c r="H3971" t="s">
        <v>5</v>
      </c>
      <c r="I3971" s="1">
        <v>121.49</v>
      </c>
      <c r="J3971" s="1">
        <v>115.7</v>
      </c>
      <c r="K3971" t="s">
        <v>6</v>
      </c>
    </row>
    <row r="3972" spans="1:11">
      <c r="A3972" t="s">
        <v>4065</v>
      </c>
      <c r="B3972">
        <v>423095</v>
      </c>
      <c r="C3972" s="2" t="str">
        <f>"6015"</f>
        <v>6015</v>
      </c>
      <c r="D3972" t="s">
        <v>4080</v>
      </c>
      <c r="E3972" t="s">
        <v>4</v>
      </c>
      <c r="F3972">
        <v>30</v>
      </c>
      <c r="H3972" t="s">
        <v>5</v>
      </c>
      <c r="I3972" s="1">
        <v>326.95</v>
      </c>
      <c r="J3972" s="1">
        <v>310.60000000000002</v>
      </c>
      <c r="K3972" t="s">
        <v>6</v>
      </c>
    </row>
    <row r="3973" spans="1:11">
      <c r="A3973" t="s">
        <v>4065</v>
      </c>
      <c r="B3973">
        <v>423085</v>
      </c>
      <c r="C3973" s="2" t="str">
        <f>"6055A"</f>
        <v>6055A</v>
      </c>
      <c r="D3973" t="s">
        <v>4081</v>
      </c>
      <c r="E3973" t="s">
        <v>4</v>
      </c>
      <c r="F3973">
        <v>23</v>
      </c>
      <c r="H3973" t="s">
        <v>5</v>
      </c>
      <c r="I3973" s="1">
        <v>137.80000000000001</v>
      </c>
      <c r="J3973" s="1">
        <v>137.80000000000001</v>
      </c>
      <c r="K3973" t="s">
        <v>6</v>
      </c>
    </row>
    <row r="3974" spans="1:11">
      <c r="A3974" t="s">
        <v>4065</v>
      </c>
      <c r="B3974">
        <v>423086</v>
      </c>
      <c r="C3974" s="2" t="str">
        <f>"6100A"</f>
        <v>6100A</v>
      </c>
      <c r="D3974" t="s">
        <v>4082</v>
      </c>
      <c r="E3974" t="s">
        <v>4</v>
      </c>
      <c r="F3974">
        <v>10</v>
      </c>
      <c r="H3974" t="s">
        <v>5</v>
      </c>
      <c r="I3974" s="1">
        <v>137.87</v>
      </c>
      <c r="J3974" s="1">
        <v>131.30000000000001</v>
      </c>
      <c r="K3974" t="s">
        <v>6</v>
      </c>
    </row>
    <row r="3975" spans="1:11">
      <c r="A3975" t="s">
        <v>4065</v>
      </c>
      <c r="B3975">
        <v>423087</v>
      </c>
      <c r="C3975" s="2" t="str">
        <f>"6101A"</f>
        <v>6101A</v>
      </c>
      <c r="D3975" t="s">
        <v>4083</v>
      </c>
      <c r="E3975" t="s">
        <v>4</v>
      </c>
      <c r="F3975">
        <v>11</v>
      </c>
      <c r="H3975" t="s">
        <v>5</v>
      </c>
      <c r="I3975" s="1">
        <v>152.88</v>
      </c>
      <c r="J3975" s="1">
        <v>145.6</v>
      </c>
      <c r="K3975" t="s">
        <v>6</v>
      </c>
    </row>
    <row r="3976" spans="1:11">
      <c r="A3976" t="s">
        <v>4065</v>
      </c>
      <c r="B3976">
        <v>423088</v>
      </c>
      <c r="C3976" s="2" t="str">
        <f>"6150-36"</f>
        <v>6150-36</v>
      </c>
      <c r="D3976" t="s">
        <v>4084</v>
      </c>
      <c r="E3976" t="s">
        <v>4</v>
      </c>
      <c r="F3976">
        <v>11</v>
      </c>
      <c r="H3976" t="s">
        <v>5</v>
      </c>
      <c r="I3976" s="1">
        <v>147.58000000000001</v>
      </c>
      <c r="J3976" s="1">
        <v>147.58000000000001</v>
      </c>
      <c r="K3976" t="s">
        <v>6</v>
      </c>
    </row>
    <row r="3977" spans="1:11">
      <c r="A3977" t="s">
        <v>4065</v>
      </c>
      <c r="B3977">
        <v>423089</v>
      </c>
      <c r="C3977" s="2" t="str">
        <f>"6150-48"</f>
        <v>6150-48</v>
      </c>
      <c r="D3977" t="s">
        <v>4085</v>
      </c>
      <c r="E3977" t="s">
        <v>4</v>
      </c>
      <c r="F3977">
        <v>13</v>
      </c>
      <c r="H3977" t="s">
        <v>5</v>
      </c>
      <c r="I3977" s="1">
        <v>144.30000000000001</v>
      </c>
      <c r="J3977" s="1">
        <v>144.30000000000001</v>
      </c>
      <c r="K3977" t="s">
        <v>6</v>
      </c>
    </row>
    <row r="3978" spans="1:11">
      <c r="A3978" t="s">
        <v>4065</v>
      </c>
      <c r="B3978">
        <v>423091</v>
      </c>
      <c r="C3978" s="2" t="str">
        <f>"6215"</f>
        <v>6215</v>
      </c>
      <c r="D3978" t="s">
        <v>4086</v>
      </c>
      <c r="E3978" t="s">
        <v>4</v>
      </c>
      <c r="F3978">
        <v>23</v>
      </c>
      <c r="H3978" t="s">
        <v>5</v>
      </c>
      <c r="I3978" s="1">
        <v>273.64999999999998</v>
      </c>
      <c r="J3978" s="1">
        <v>259.97000000000003</v>
      </c>
      <c r="K3978" t="s">
        <v>6</v>
      </c>
    </row>
    <row r="3979" spans="1:11">
      <c r="A3979" t="s">
        <v>4065</v>
      </c>
      <c r="B3979">
        <v>423096</v>
      </c>
      <c r="C3979" s="2" t="str">
        <f>"6310-2"</f>
        <v>6310-2</v>
      </c>
      <c r="D3979" t="s">
        <v>4087</v>
      </c>
      <c r="E3979" t="s">
        <v>4</v>
      </c>
      <c r="F3979">
        <v>26</v>
      </c>
      <c r="H3979" t="s">
        <v>5</v>
      </c>
      <c r="I3979" s="1">
        <v>399.1</v>
      </c>
      <c r="J3979" s="1">
        <v>379.15</v>
      </c>
      <c r="K3979" t="s">
        <v>6</v>
      </c>
    </row>
    <row r="3980" spans="1:11">
      <c r="A3980" t="s">
        <v>4065</v>
      </c>
      <c r="B3980">
        <v>457673</v>
      </c>
      <c r="C3980" s="2" t="str">
        <f>"6403"</f>
        <v>6403</v>
      </c>
      <c r="D3980" t="s">
        <v>4088</v>
      </c>
      <c r="E3980" t="s">
        <v>4</v>
      </c>
      <c r="F3980">
        <v>40</v>
      </c>
      <c r="H3980" t="s">
        <v>5</v>
      </c>
      <c r="I3980" s="1">
        <v>540.79999999999995</v>
      </c>
      <c r="J3980" s="1">
        <v>513.76</v>
      </c>
      <c r="K3980" t="s">
        <v>6</v>
      </c>
    </row>
    <row r="3981" spans="1:11">
      <c r="A3981" t="s">
        <v>4065</v>
      </c>
      <c r="B3981">
        <v>423276</v>
      </c>
      <c r="C3981" s="2" t="str">
        <f>"6451"</f>
        <v>6451</v>
      </c>
      <c r="D3981" t="s">
        <v>4089</v>
      </c>
      <c r="E3981" t="s">
        <v>4</v>
      </c>
      <c r="F3981">
        <v>95</v>
      </c>
      <c r="H3981" t="s">
        <v>5</v>
      </c>
      <c r="I3981" s="1">
        <v>1441.05</v>
      </c>
      <c r="J3981" s="1">
        <v>1369</v>
      </c>
      <c r="K3981" t="s">
        <v>6</v>
      </c>
    </row>
    <row r="3982" spans="1:11">
      <c r="A3982" t="s">
        <v>4065</v>
      </c>
      <c r="B3982">
        <v>523553</v>
      </c>
      <c r="C3982" s="2" t="str">
        <f>"6600"</f>
        <v>6600</v>
      </c>
      <c r="D3982" t="s">
        <v>4090</v>
      </c>
      <c r="E3982" t="s">
        <v>4</v>
      </c>
      <c r="F3982">
        <v>40</v>
      </c>
      <c r="H3982" t="s">
        <v>5</v>
      </c>
      <c r="I3982" s="1">
        <v>1201.2</v>
      </c>
      <c r="J3982" s="1">
        <v>1141.1400000000001</v>
      </c>
      <c r="K3982" t="s">
        <v>6</v>
      </c>
    </row>
    <row r="3983" spans="1:11">
      <c r="A3983" t="s">
        <v>4065</v>
      </c>
      <c r="B3983">
        <v>423098</v>
      </c>
      <c r="C3983" s="2" t="str">
        <f>"6700"</f>
        <v>6700</v>
      </c>
      <c r="D3983" t="s">
        <v>4091</v>
      </c>
      <c r="E3983" t="s">
        <v>4</v>
      </c>
      <c r="F3983">
        <v>20</v>
      </c>
      <c r="H3983" t="s">
        <v>5</v>
      </c>
      <c r="I3983" s="1">
        <v>550.54999999999995</v>
      </c>
      <c r="J3983" s="1">
        <v>523.02</v>
      </c>
      <c r="K3983" t="s">
        <v>6</v>
      </c>
    </row>
    <row r="3984" spans="1:11">
      <c r="A3984" t="s">
        <v>4065</v>
      </c>
      <c r="B3984">
        <v>430984</v>
      </c>
      <c r="C3984" s="2" t="str">
        <f>"8150-RS"</f>
        <v>8150-RS</v>
      </c>
      <c r="D3984" t="s">
        <v>4092</v>
      </c>
      <c r="E3984" t="s">
        <v>4</v>
      </c>
      <c r="F3984">
        <v>4</v>
      </c>
      <c r="H3984" t="s">
        <v>5</v>
      </c>
      <c r="I3984" s="1">
        <v>83.2</v>
      </c>
      <c r="J3984" s="1">
        <v>79.040000000000006</v>
      </c>
      <c r="K3984" t="s">
        <v>6</v>
      </c>
    </row>
    <row r="3985" spans="1:11">
      <c r="A3985" t="s">
        <v>4065</v>
      </c>
      <c r="B3985">
        <v>423050</v>
      </c>
      <c r="C3985" s="2" t="str">
        <f>"N55050AN"</f>
        <v>N55050AN</v>
      </c>
      <c r="D3985" t="s">
        <v>4093</v>
      </c>
      <c r="E3985" t="s">
        <v>4</v>
      </c>
      <c r="F3985">
        <v>6</v>
      </c>
      <c r="H3985" t="s">
        <v>5</v>
      </c>
      <c r="I3985" s="1">
        <v>245.7</v>
      </c>
      <c r="J3985" s="1">
        <v>233.42</v>
      </c>
      <c r="K3985" t="s">
        <v>6</v>
      </c>
    </row>
    <row r="3986" spans="1:11">
      <c r="A3986" t="s">
        <v>4065</v>
      </c>
      <c r="B3986">
        <v>423064</v>
      </c>
      <c r="C3986" s="2" t="str">
        <f>"N55200AN"</f>
        <v>N55200AN</v>
      </c>
      <c r="D3986" t="s">
        <v>4094</v>
      </c>
      <c r="E3986" t="s">
        <v>4</v>
      </c>
      <c r="F3986">
        <v>12</v>
      </c>
      <c r="H3986" t="s">
        <v>5</v>
      </c>
      <c r="I3986" s="1">
        <v>339.95</v>
      </c>
      <c r="J3986" s="1">
        <v>322.95</v>
      </c>
      <c r="K3986" t="s">
        <v>6</v>
      </c>
    </row>
    <row r="3987" spans="1:11">
      <c r="A3987" t="s">
        <v>4065</v>
      </c>
      <c r="B3987">
        <v>423066</v>
      </c>
      <c r="C3987" s="2" t="str">
        <f>"N55450-1"</f>
        <v>N55450-1</v>
      </c>
      <c r="D3987" t="s">
        <v>4095</v>
      </c>
      <c r="E3987" t="s">
        <v>4</v>
      </c>
      <c r="F3987">
        <v>12</v>
      </c>
      <c r="H3987" t="s">
        <v>5</v>
      </c>
      <c r="I3987" s="1">
        <v>245.05</v>
      </c>
      <c r="J3987" s="1">
        <v>232.8</v>
      </c>
      <c r="K3987" t="s">
        <v>6</v>
      </c>
    </row>
    <row r="3988" spans="1:11">
      <c r="A3988" t="s">
        <v>4065</v>
      </c>
      <c r="B3988">
        <v>423068</v>
      </c>
      <c r="C3988" s="2" t="str">
        <f>"N55450-2"</f>
        <v>N55450-2</v>
      </c>
      <c r="D3988" t="s">
        <v>4096</v>
      </c>
      <c r="E3988" t="s">
        <v>4</v>
      </c>
      <c r="F3988">
        <v>12</v>
      </c>
      <c r="H3988" t="s">
        <v>5</v>
      </c>
      <c r="I3988" s="1">
        <v>245.05</v>
      </c>
      <c r="J3988" s="1">
        <v>232.8</v>
      </c>
      <c r="K3988" t="s">
        <v>6</v>
      </c>
    </row>
    <row r="3989" spans="1:11">
      <c r="A3989" t="s">
        <v>4065</v>
      </c>
      <c r="B3989">
        <v>423069</v>
      </c>
      <c r="C3989" s="2" t="str">
        <f>"N55500-1"</f>
        <v>N55500-1</v>
      </c>
      <c r="D3989" t="s">
        <v>4097</v>
      </c>
      <c r="E3989" t="s">
        <v>4</v>
      </c>
      <c r="F3989">
        <v>7</v>
      </c>
      <c r="H3989" t="s">
        <v>5</v>
      </c>
      <c r="I3989" s="1">
        <v>172.9</v>
      </c>
      <c r="J3989" s="1">
        <v>164.26</v>
      </c>
      <c r="K3989" t="s">
        <v>6</v>
      </c>
    </row>
    <row r="3990" spans="1:11">
      <c r="A3990" t="s">
        <v>4065</v>
      </c>
      <c r="B3990">
        <v>423070</v>
      </c>
      <c r="C3990" s="2" t="str">
        <f>"N55500-2"</f>
        <v>N55500-2</v>
      </c>
      <c r="D3990" t="s">
        <v>4098</v>
      </c>
      <c r="E3990" t="s">
        <v>4</v>
      </c>
      <c r="F3990">
        <v>7</v>
      </c>
      <c r="H3990" t="s">
        <v>5</v>
      </c>
      <c r="I3990" s="1">
        <v>172.9</v>
      </c>
      <c r="J3990" s="1">
        <v>164.26</v>
      </c>
      <c r="K3990" t="s">
        <v>6</v>
      </c>
    </row>
    <row r="3991" spans="1:11">
      <c r="A3991" t="s">
        <v>4065</v>
      </c>
      <c r="B3991">
        <v>423071</v>
      </c>
      <c r="C3991" s="2" t="str">
        <f>"N55550-6"</f>
        <v>N55550-6</v>
      </c>
      <c r="D3991" t="s">
        <v>4099</v>
      </c>
      <c r="E3991" t="s">
        <v>4</v>
      </c>
      <c r="F3991">
        <v>6</v>
      </c>
      <c r="H3991" t="s">
        <v>5</v>
      </c>
      <c r="I3991" s="1">
        <v>117</v>
      </c>
      <c r="J3991" s="1">
        <v>111.15</v>
      </c>
      <c r="K3991" t="s">
        <v>6</v>
      </c>
    </row>
    <row r="3992" spans="1:11">
      <c r="A3992" t="s">
        <v>4065</v>
      </c>
      <c r="B3992">
        <v>423072</v>
      </c>
      <c r="C3992" s="2" t="str">
        <f>"N55550-8"</f>
        <v>N55550-8</v>
      </c>
      <c r="D3992" t="s">
        <v>4100</v>
      </c>
      <c r="E3992" t="s">
        <v>4</v>
      </c>
      <c r="F3992">
        <v>6</v>
      </c>
      <c r="H3992" t="s">
        <v>5</v>
      </c>
      <c r="I3992" s="1">
        <v>117</v>
      </c>
      <c r="J3992" s="1">
        <v>111.15</v>
      </c>
      <c r="K3992" t="s">
        <v>6</v>
      </c>
    </row>
    <row r="3993" spans="1:11">
      <c r="A3993" t="s">
        <v>4065</v>
      </c>
      <c r="B3993">
        <v>423073</v>
      </c>
      <c r="C3993" s="2" t="str">
        <f>"N55600-1"</f>
        <v>N55600-1</v>
      </c>
      <c r="D3993" t="s">
        <v>4101</v>
      </c>
      <c r="E3993" t="s">
        <v>4</v>
      </c>
      <c r="F3993">
        <v>9</v>
      </c>
      <c r="H3993" t="s">
        <v>5</v>
      </c>
      <c r="I3993" s="1">
        <v>211.9</v>
      </c>
      <c r="J3993" s="1">
        <v>201.31</v>
      </c>
      <c r="K3993" t="s">
        <v>6</v>
      </c>
    </row>
    <row r="3994" spans="1:11">
      <c r="A3994" t="s">
        <v>4065</v>
      </c>
      <c r="B3994">
        <v>423074</v>
      </c>
      <c r="C3994" s="2" t="str">
        <f>"N55600-2"</f>
        <v>N55600-2</v>
      </c>
      <c r="D3994" t="s">
        <v>4102</v>
      </c>
      <c r="E3994" t="s">
        <v>4</v>
      </c>
      <c r="F3994">
        <v>9</v>
      </c>
      <c r="H3994" t="s">
        <v>5</v>
      </c>
      <c r="I3994" s="1">
        <v>211.9</v>
      </c>
      <c r="J3994" s="1">
        <v>201.31</v>
      </c>
      <c r="K3994" t="s">
        <v>6</v>
      </c>
    </row>
    <row r="3995" spans="1:11">
      <c r="A3995" t="s">
        <v>4065</v>
      </c>
      <c r="B3995">
        <v>423275</v>
      </c>
      <c r="C3995" s="2" t="str">
        <f>"N55607-6"</f>
        <v>N55607-6</v>
      </c>
      <c r="D3995" t="s">
        <v>4103</v>
      </c>
      <c r="E3995" t="s">
        <v>4</v>
      </c>
      <c r="F3995">
        <v>0.6</v>
      </c>
      <c r="H3995" t="s">
        <v>5</v>
      </c>
      <c r="I3995" s="1">
        <v>18.2</v>
      </c>
      <c r="J3995" s="1">
        <v>17.29</v>
      </c>
      <c r="K3995" t="s">
        <v>6</v>
      </c>
    </row>
    <row r="3996" spans="1:11">
      <c r="A3996" t="s">
        <v>4065</v>
      </c>
      <c r="B3996">
        <v>423075</v>
      </c>
      <c r="C3996" s="2" t="str">
        <f>"N55650"</f>
        <v>N55650</v>
      </c>
      <c r="D3996" t="s">
        <v>4104</v>
      </c>
      <c r="E3996" t="s">
        <v>4</v>
      </c>
      <c r="F3996">
        <v>22</v>
      </c>
      <c r="H3996" t="s">
        <v>5</v>
      </c>
      <c r="I3996" s="1">
        <v>410.8</v>
      </c>
      <c r="J3996" s="1">
        <v>390.26</v>
      </c>
      <c r="K3996" t="s">
        <v>6</v>
      </c>
    </row>
    <row r="3997" spans="1:11">
      <c r="A3997" t="s">
        <v>4065</v>
      </c>
      <c r="B3997">
        <v>423076</v>
      </c>
      <c r="C3997" s="2" t="str">
        <f>"N55700"</f>
        <v>N55700</v>
      </c>
      <c r="D3997" t="s">
        <v>4105</v>
      </c>
      <c r="E3997" t="s">
        <v>4</v>
      </c>
      <c r="F3997">
        <v>20</v>
      </c>
      <c r="H3997" t="s">
        <v>5</v>
      </c>
      <c r="I3997" s="1">
        <v>419.25</v>
      </c>
      <c r="J3997" s="1">
        <v>398.29</v>
      </c>
      <c r="K3997" t="s">
        <v>6</v>
      </c>
    </row>
    <row r="3998" spans="1:11">
      <c r="A3998" t="s">
        <v>4065</v>
      </c>
      <c r="B3998">
        <v>423082</v>
      </c>
      <c r="C3998" s="2" t="str">
        <f>"N55825"</f>
        <v>N55825</v>
      </c>
      <c r="D3998" t="s">
        <v>4106</v>
      </c>
      <c r="E3998" t="s">
        <v>4</v>
      </c>
      <c r="F3998">
        <v>3</v>
      </c>
      <c r="H3998" t="s">
        <v>5</v>
      </c>
      <c r="I3998" s="1">
        <v>35.75</v>
      </c>
      <c r="J3998" s="1">
        <v>33.96</v>
      </c>
      <c r="K3998" t="s">
        <v>6</v>
      </c>
    </row>
    <row r="3999" spans="1:11">
      <c r="A3999" t="s">
        <v>4107</v>
      </c>
      <c r="B3999">
        <v>423839</v>
      </c>
      <c r="C3999" s="2" t="str">
        <f>"226"</f>
        <v>226</v>
      </c>
      <c r="D3999" t="s">
        <v>4108</v>
      </c>
      <c r="E3999" t="s">
        <v>4</v>
      </c>
      <c r="F3999">
        <v>4.6900000000000004</v>
      </c>
      <c r="H3999" t="s">
        <v>5</v>
      </c>
      <c r="I3999" s="1">
        <v>62.05</v>
      </c>
      <c r="J3999" s="1">
        <v>60.37</v>
      </c>
      <c r="K3999" t="s">
        <v>6</v>
      </c>
    </row>
    <row r="4000" spans="1:11">
      <c r="A4000" t="s">
        <v>4107</v>
      </c>
      <c r="B4000">
        <v>380246</v>
      </c>
      <c r="C4000" s="2" t="str">
        <f>"6120-6"</f>
        <v>6120-6</v>
      </c>
      <c r="D4000" t="s">
        <v>4109</v>
      </c>
      <c r="E4000" t="s">
        <v>4</v>
      </c>
      <c r="F4000">
        <v>17</v>
      </c>
      <c r="H4000" t="s">
        <v>5</v>
      </c>
      <c r="I4000" s="1">
        <v>48.34</v>
      </c>
      <c r="J4000" s="1">
        <v>47.03</v>
      </c>
      <c r="K4000" t="s">
        <v>6</v>
      </c>
    </row>
    <row r="4001" spans="1:12">
      <c r="A4001" t="s">
        <v>4107</v>
      </c>
      <c r="B4001">
        <v>427995</v>
      </c>
      <c r="C4001" s="2" t="str">
        <f>"6200-6"</f>
        <v>6200-6</v>
      </c>
      <c r="D4001" t="s">
        <v>4110</v>
      </c>
      <c r="E4001" t="s">
        <v>4</v>
      </c>
      <c r="F4001">
        <v>7</v>
      </c>
      <c r="H4001" t="s">
        <v>5</v>
      </c>
      <c r="I4001" s="1">
        <v>23.81</v>
      </c>
      <c r="J4001" s="1">
        <v>23.17</v>
      </c>
      <c r="K4001" t="s">
        <v>6</v>
      </c>
    </row>
    <row r="4002" spans="1:12">
      <c r="A4002" t="s">
        <v>4107</v>
      </c>
      <c r="B4002">
        <v>427994</v>
      </c>
      <c r="C4002" s="2" t="str">
        <f>"6208"</f>
        <v>6208</v>
      </c>
      <c r="D4002" t="s">
        <v>4111</v>
      </c>
      <c r="E4002" t="s">
        <v>4</v>
      </c>
      <c r="F4002">
        <v>6.5</v>
      </c>
      <c r="H4002" t="s">
        <v>5</v>
      </c>
      <c r="I4002" s="1">
        <v>22.37</v>
      </c>
      <c r="J4002" s="1">
        <v>21.76</v>
      </c>
      <c r="K4002" t="s">
        <v>6</v>
      </c>
    </row>
    <row r="4003" spans="1:12">
      <c r="A4003" t="s">
        <v>4107</v>
      </c>
      <c r="B4003">
        <v>380243</v>
      </c>
      <c r="C4003" s="2" t="str">
        <f>"63016"</f>
        <v>63016</v>
      </c>
      <c r="D4003" t="s">
        <v>4112</v>
      </c>
      <c r="E4003" t="s">
        <v>4</v>
      </c>
      <c r="F4003">
        <v>17</v>
      </c>
      <c r="H4003" t="s">
        <v>5</v>
      </c>
      <c r="I4003" s="1">
        <v>71.14</v>
      </c>
      <c r="J4003" s="1">
        <v>68.760000000000005</v>
      </c>
      <c r="K4003" t="s">
        <v>6</v>
      </c>
    </row>
    <row r="4004" spans="1:12">
      <c r="A4004" t="s">
        <v>4107</v>
      </c>
      <c r="B4004">
        <v>380249</v>
      </c>
      <c r="C4004" s="2" t="str">
        <f>"6400-6"</f>
        <v>6400-6</v>
      </c>
      <c r="D4004" t="s">
        <v>4113</v>
      </c>
      <c r="E4004" t="s">
        <v>4</v>
      </c>
      <c r="F4004">
        <v>23</v>
      </c>
      <c r="H4004" t="s">
        <v>5</v>
      </c>
      <c r="I4004" s="1">
        <v>48.34</v>
      </c>
      <c r="J4004" s="1">
        <v>47.03</v>
      </c>
      <c r="K4004" t="s">
        <v>6</v>
      </c>
    </row>
    <row r="4005" spans="1:12">
      <c r="A4005" t="s">
        <v>4107</v>
      </c>
      <c r="B4005">
        <v>399834</v>
      </c>
      <c r="C4005" s="2" t="str">
        <f>"6516"</f>
        <v>6516</v>
      </c>
      <c r="D4005" t="s">
        <v>4114</v>
      </c>
      <c r="E4005" t="s">
        <v>4</v>
      </c>
      <c r="F4005">
        <v>10</v>
      </c>
      <c r="H4005" t="s">
        <v>5</v>
      </c>
      <c r="I4005" s="1">
        <v>95.24</v>
      </c>
      <c r="J4005" s="1">
        <v>92.66</v>
      </c>
      <c r="K4005" t="s">
        <v>6</v>
      </c>
    </row>
    <row r="4006" spans="1:12">
      <c r="A4006" t="s">
        <v>4107</v>
      </c>
      <c r="B4006">
        <v>423520</v>
      </c>
      <c r="C4006" s="2" t="str">
        <f>"91282"</f>
        <v>91282</v>
      </c>
      <c r="D4006" t="s">
        <v>4115</v>
      </c>
      <c r="E4006" t="s">
        <v>4</v>
      </c>
      <c r="F4006">
        <v>2.9</v>
      </c>
      <c r="H4006" t="s">
        <v>5</v>
      </c>
      <c r="I4006" s="1">
        <v>17.68</v>
      </c>
      <c r="J4006" s="1">
        <v>17.2</v>
      </c>
      <c r="K4006" t="s">
        <v>6</v>
      </c>
    </row>
    <row r="4007" spans="1:12">
      <c r="A4007" t="s">
        <v>4107</v>
      </c>
      <c r="B4007">
        <v>380252</v>
      </c>
      <c r="C4007" s="2" t="str">
        <f>"91284"</f>
        <v>91284</v>
      </c>
      <c r="D4007" t="s">
        <v>4116</v>
      </c>
      <c r="E4007" t="s">
        <v>4</v>
      </c>
      <c r="F4007">
        <v>8</v>
      </c>
      <c r="H4007" t="s">
        <v>5</v>
      </c>
      <c r="I4007" s="1">
        <v>39.68</v>
      </c>
      <c r="J4007" s="1">
        <v>38.61</v>
      </c>
      <c r="K4007" t="s">
        <v>6</v>
      </c>
    </row>
    <row r="4008" spans="1:12">
      <c r="A4008" t="s">
        <v>4107</v>
      </c>
      <c r="B4008">
        <v>402102</v>
      </c>
      <c r="C4008" s="2" t="str">
        <f>"91351"</f>
        <v>91351</v>
      </c>
      <c r="D4008" t="s">
        <v>4117</v>
      </c>
      <c r="E4008" t="s">
        <v>4</v>
      </c>
      <c r="F4008">
        <v>7.03</v>
      </c>
      <c r="H4008" t="s">
        <v>5</v>
      </c>
      <c r="I4008" s="1">
        <v>39.68</v>
      </c>
      <c r="J4008" s="1">
        <v>38.61</v>
      </c>
      <c r="K4008" t="s">
        <v>6</v>
      </c>
    </row>
    <row r="4009" spans="1:12">
      <c r="A4009" t="s">
        <v>4107</v>
      </c>
      <c r="B4009">
        <v>562551</v>
      </c>
      <c r="C4009" s="2" t="str">
        <f>"93611"</f>
        <v>93611</v>
      </c>
      <c r="D4009" t="s">
        <v>4118</v>
      </c>
      <c r="E4009" t="s">
        <v>4</v>
      </c>
      <c r="F4009">
        <v>8</v>
      </c>
      <c r="H4009" t="s">
        <v>5</v>
      </c>
      <c r="I4009" s="1">
        <v>28.86</v>
      </c>
      <c r="J4009" s="1">
        <v>28.08</v>
      </c>
      <c r="K4009" t="s">
        <v>6</v>
      </c>
    </row>
    <row r="4010" spans="1:12">
      <c r="A4010" t="s">
        <v>4107</v>
      </c>
      <c r="B4010">
        <v>562550</v>
      </c>
      <c r="C4010" s="2" t="str">
        <f>"93613"</f>
        <v>93613</v>
      </c>
      <c r="D4010" t="s">
        <v>4119</v>
      </c>
      <c r="E4010" t="s">
        <v>4</v>
      </c>
      <c r="F4010">
        <v>10</v>
      </c>
      <c r="H4010" t="s">
        <v>5</v>
      </c>
      <c r="I4010" s="1">
        <v>36.08</v>
      </c>
      <c r="J4010" s="1">
        <v>35.1</v>
      </c>
      <c r="K4010" t="s">
        <v>6</v>
      </c>
    </row>
    <row r="4011" spans="1:12">
      <c r="A4011" t="s">
        <v>4107</v>
      </c>
      <c r="B4011">
        <v>562549</v>
      </c>
      <c r="C4011" s="2" t="str">
        <f>"93614"</f>
        <v>93614</v>
      </c>
      <c r="D4011" t="s">
        <v>4120</v>
      </c>
      <c r="E4011" t="s">
        <v>4</v>
      </c>
      <c r="F4011">
        <v>12</v>
      </c>
      <c r="H4011" t="s">
        <v>5</v>
      </c>
      <c r="I4011" s="1">
        <v>43.29</v>
      </c>
      <c r="J4011" s="1">
        <v>42.12</v>
      </c>
      <c r="K4011" t="s">
        <v>6</v>
      </c>
    </row>
    <row r="4012" spans="1:12">
      <c r="A4012" t="s">
        <v>4107</v>
      </c>
      <c r="B4012">
        <v>514347</v>
      </c>
      <c r="C4012" s="2" t="str">
        <f>"94201"</f>
        <v>94201</v>
      </c>
      <c r="D4012" t="s">
        <v>4121</v>
      </c>
      <c r="E4012" t="s">
        <v>4</v>
      </c>
      <c r="F4012">
        <v>13.02</v>
      </c>
      <c r="G4012">
        <v>2.17</v>
      </c>
      <c r="H4012" t="s">
        <v>20</v>
      </c>
      <c r="I4012" s="1">
        <v>10.220000000000001</v>
      </c>
      <c r="J4012" s="1">
        <v>9.9499999999999993</v>
      </c>
      <c r="K4012" t="s">
        <v>21</v>
      </c>
      <c r="L4012" s="1">
        <v>10.94</v>
      </c>
    </row>
    <row r="4013" spans="1:12">
      <c r="A4013" t="s">
        <v>4107</v>
      </c>
      <c r="B4013">
        <v>380254</v>
      </c>
      <c r="C4013" s="2" t="str">
        <f>"94205"</f>
        <v>94205</v>
      </c>
      <c r="D4013" t="s">
        <v>4122</v>
      </c>
      <c r="E4013" t="s">
        <v>4</v>
      </c>
      <c r="F4013">
        <v>2.54</v>
      </c>
      <c r="H4013" t="s">
        <v>5</v>
      </c>
      <c r="I4013" s="1">
        <v>46.9</v>
      </c>
      <c r="J4013" s="1">
        <v>45.63</v>
      </c>
      <c r="K4013" t="s">
        <v>6</v>
      </c>
    </row>
    <row r="4014" spans="1:12">
      <c r="A4014" t="s">
        <v>4107</v>
      </c>
      <c r="B4014">
        <v>380313</v>
      </c>
      <c r="C4014" s="2" t="str">
        <f>"96024"</f>
        <v>96024</v>
      </c>
      <c r="D4014" t="s">
        <v>4123</v>
      </c>
      <c r="E4014" t="s">
        <v>4</v>
      </c>
      <c r="F4014">
        <v>12</v>
      </c>
      <c r="G4014">
        <v>1</v>
      </c>
      <c r="H4014" t="s">
        <v>106</v>
      </c>
      <c r="I4014" s="1">
        <v>5.95</v>
      </c>
      <c r="J4014" s="1">
        <v>5.79</v>
      </c>
      <c r="K4014" t="s">
        <v>457</v>
      </c>
      <c r="L4014" s="1">
        <v>6.37</v>
      </c>
    </row>
    <row r="4015" spans="1:12">
      <c r="A4015" t="s">
        <v>4107</v>
      </c>
      <c r="B4015">
        <v>380319</v>
      </c>
      <c r="C4015" s="2" t="str">
        <f>"96036"</f>
        <v>96036</v>
      </c>
      <c r="D4015" t="s">
        <v>4124</v>
      </c>
      <c r="E4015" t="s">
        <v>4</v>
      </c>
      <c r="F4015">
        <v>17.04</v>
      </c>
      <c r="G4015">
        <v>1.42</v>
      </c>
      <c r="H4015" t="s">
        <v>106</v>
      </c>
      <c r="I4015" s="1">
        <v>7.82</v>
      </c>
      <c r="J4015" s="1">
        <v>7.61</v>
      </c>
      <c r="K4015" t="s">
        <v>457</v>
      </c>
      <c r="L4015" s="1">
        <v>8.3699999999999992</v>
      </c>
    </row>
    <row r="4016" spans="1:12">
      <c r="A4016" t="s">
        <v>4107</v>
      </c>
      <c r="B4016">
        <v>380257</v>
      </c>
      <c r="C4016" s="2" t="str">
        <f>"96071"</f>
        <v>96071</v>
      </c>
      <c r="D4016" t="s">
        <v>4125</v>
      </c>
      <c r="E4016" t="s">
        <v>4</v>
      </c>
      <c r="F4016">
        <v>15.96</v>
      </c>
      <c r="G4016">
        <v>1.33</v>
      </c>
      <c r="H4016" t="s">
        <v>106</v>
      </c>
      <c r="I4016" s="1">
        <v>3.8</v>
      </c>
      <c r="J4016" s="1">
        <v>3.68</v>
      </c>
      <c r="K4016" t="s">
        <v>457</v>
      </c>
      <c r="L4016" s="1">
        <v>4.04</v>
      </c>
    </row>
    <row r="4017" spans="1:12">
      <c r="A4017" t="s">
        <v>4107</v>
      </c>
      <c r="B4017">
        <v>380259</v>
      </c>
      <c r="C4017" s="2" t="str">
        <f>"96073"</f>
        <v>96073</v>
      </c>
      <c r="D4017" t="s">
        <v>4126</v>
      </c>
      <c r="E4017" t="s">
        <v>4</v>
      </c>
      <c r="F4017">
        <v>9.84</v>
      </c>
      <c r="G4017">
        <v>0.82</v>
      </c>
      <c r="H4017" t="s">
        <v>106</v>
      </c>
      <c r="I4017" s="1">
        <v>5.83</v>
      </c>
      <c r="J4017" s="1">
        <v>5.67</v>
      </c>
      <c r="K4017" t="s">
        <v>457</v>
      </c>
      <c r="L4017" s="1">
        <v>6.24</v>
      </c>
    </row>
    <row r="4018" spans="1:12">
      <c r="A4018" t="s">
        <v>4107</v>
      </c>
      <c r="B4018">
        <v>380326</v>
      </c>
      <c r="C4018" s="2" t="str">
        <f>"96124"</f>
        <v>96124</v>
      </c>
      <c r="D4018" t="s">
        <v>4127</v>
      </c>
      <c r="E4018" t="s">
        <v>4</v>
      </c>
      <c r="F4018">
        <v>12</v>
      </c>
      <c r="G4018">
        <v>1</v>
      </c>
      <c r="H4018" t="s">
        <v>106</v>
      </c>
      <c r="I4018" s="1">
        <v>3.43</v>
      </c>
      <c r="J4018" s="1">
        <v>3.33</v>
      </c>
      <c r="K4018" t="s">
        <v>457</v>
      </c>
      <c r="L4018" s="1">
        <v>3.67</v>
      </c>
    </row>
    <row r="4019" spans="1:12">
      <c r="A4019" t="s">
        <v>4107</v>
      </c>
      <c r="B4019">
        <v>380329</v>
      </c>
      <c r="C4019" s="2" t="str">
        <f>"96136"</f>
        <v>96136</v>
      </c>
      <c r="D4019" t="s">
        <v>4128</v>
      </c>
      <c r="E4019" t="s">
        <v>4</v>
      </c>
      <c r="F4019">
        <v>17.04</v>
      </c>
      <c r="G4019">
        <v>1.42</v>
      </c>
      <c r="H4019" t="s">
        <v>106</v>
      </c>
      <c r="I4019" s="1">
        <v>4.51</v>
      </c>
      <c r="J4019" s="1">
        <v>4.3899999999999997</v>
      </c>
      <c r="K4019" t="s">
        <v>457</v>
      </c>
      <c r="L4019" s="1">
        <v>4.83</v>
      </c>
    </row>
    <row r="4020" spans="1:12">
      <c r="A4020" t="s">
        <v>4107</v>
      </c>
      <c r="B4020">
        <v>425060</v>
      </c>
      <c r="C4020" s="2" t="str">
        <f>"96142"</f>
        <v>96142</v>
      </c>
      <c r="D4020" t="s">
        <v>4129</v>
      </c>
      <c r="E4020" t="s">
        <v>4</v>
      </c>
      <c r="F4020">
        <v>6</v>
      </c>
      <c r="H4020" t="s">
        <v>5</v>
      </c>
      <c r="I4020" s="1">
        <v>32.47</v>
      </c>
      <c r="J4020" s="1">
        <v>31.59</v>
      </c>
      <c r="K4020" t="s">
        <v>6</v>
      </c>
    </row>
    <row r="4021" spans="1:12">
      <c r="A4021" t="s">
        <v>4107</v>
      </c>
      <c r="B4021">
        <v>380332</v>
      </c>
      <c r="C4021" s="2" t="str">
        <f>"96161"</f>
        <v>96161</v>
      </c>
      <c r="D4021" t="s">
        <v>4130</v>
      </c>
      <c r="E4021" t="s">
        <v>4</v>
      </c>
      <c r="F4021">
        <v>20.04</v>
      </c>
      <c r="G4021">
        <v>1.67</v>
      </c>
      <c r="H4021" t="s">
        <v>106</v>
      </c>
      <c r="I4021" s="1">
        <v>6.61</v>
      </c>
      <c r="J4021" s="1">
        <v>6.44</v>
      </c>
      <c r="K4021" t="s">
        <v>457</v>
      </c>
      <c r="L4021" s="1">
        <v>7.08</v>
      </c>
    </row>
    <row r="4022" spans="1:12">
      <c r="A4022" t="s">
        <v>4107</v>
      </c>
      <c r="B4022">
        <v>399851</v>
      </c>
      <c r="C4022" s="2" t="str">
        <f>"96175"</f>
        <v>96175</v>
      </c>
      <c r="D4022" t="s">
        <v>4131</v>
      </c>
      <c r="E4022" t="s">
        <v>4</v>
      </c>
      <c r="F4022">
        <v>3</v>
      </c>
      <c r="G4022">
        <v>0.5</v>
      </c>
      <c r="H4022" t="s">
        <v>20</v>
      </c>
      <c r="I4022" s="1">
        <v>4.8099999999999996</v>
      </c>
      <c r="J4022" s="1">
        <v>4.68</v>
      </c>
      <c r="K4022" t="s">
        <v>457</v>
      </c>
      <c r="L4022" s="1">
        <v>5.15</v>
      </c>
    </row>
    <row r="4023" spans="1:12">
      <c r="A4023" t="s">
        <v>4107</v>
      </c>
      <c r="B4023">
        <v>421675</v>
      </c>
      <c r="C4023" s="2" t="str">
        <f>"96208"</f>
        <v>96208</v>
      </c>
      <c r="D4023" t="s">
        <v>4132</v>
      </c>
      <c r="E4023" t="s">
        <v>4</v>
      </c>
      <c r="F4023">
        <v>13</v>
      </c>
      <c r="H4023" t="s">
        <v>5</v>
      </c>
      <c r="I4023" s="1">
        <v>62.41</v>
      </c>
      <c r="J4023" s="1">
        <v>60.72</v>
      </c>
      <c r="K4023" t="s">
        <v>6</v>
      </c>
    </row>
    <row r="4024" spans="1:12">
      <c r="A4024" t="s">
        <v>4107</v>
      </c>
      <c r="B4024">
        <v>399849</v>
      </c>
      <c r="C4024" s="2" t="str">
        <f>"96243"</f>
        <v>96243</v>
      </c>
      <c r="D4024" t="s">
        <v>4133</v>
      </c>
      <c r="E4024" t="s">
        <v>4</v>
      </c>
      <c r="F4024">
        <v>16.02</v>
      </c>
      <c r="G4024">
        <v>2.67</v>
      </c>
      <c r="H4024" t="s">
        <v>20</v>
      </c>
      <c r="I4024" s="1">
        <v>16.23</v>
      </c>
      <c r="J4024" s="1">
        <v>15.8</v>
      </c>
      <c r="K4024" t="s">
        <v>457</v>
      </c>
      <c r="L4024" s="1">
        <v>17.37</v>
      </c>
    </row>
    <row r="4025" spans="1:12">
      <c r="A4025" t="s">
        <v>4107</v>
      </c>
      <c r="B4025">
        <v>464557</v>
      </c>
      <c r="C4025" s="2" t="str">
        <f>"96301"</f>
        <v>96301</v>
      </c>
      <c r="D4025" t="s">
        <v>4134</v>
      </c>
      <c r="E4025" t="s">
        <v>4</v>
      </c>
      <c r="F4025">
        <v>4.08</v>
      </c>
      <c r="G4025">
        <v>0.34</v>
      </c>
      <c r="H4025" t="s">
        <v>106</v>
      </c>
      <c r="I4025" s="1">
        <v>1.62</v>
      </c>
      <c r="J4025" s="1">
        <v>1.58</v>
      </c>
      <c r="K4025" t="s">
        <v>21</v>
      </c>
      <c r="L4025" s="1">
        <v>1.74</v>
      </c>
    </row>
    <row r="4026" spans="1:12">
      <c r="A4026" t="s">
        <v>4107</v>
      </c>
      <c r="B4026">
        <v>464558</v>
      </c>
      <c r="C4026" s="2" t="str">
        <f>"96311"</f>
        <v>96311</v>
      </c>
      <c r="D4026" t="s">
        <v>4135</v>
      </c>
      <c r="E4026" t="s">
        <v>4</v>
      </c>
      <c r="F4026">
        <v>4.32</v>
      </c>
      <c r="G4026">
        <v>0.36</v>
      </c>
      <c r="H4026" t="s">
        <v>106</v>
      </c>
      <c r="I4026" s="1">
        <v>1.62</v>
      </c>
      <c r="J4026" s="1">
        <v>1.58</v>
      </c>
      <c r="K4026" t="s">
        <v>21</v>
      </c>
      <c r="L4026" s="1">
        <v>1.74</v>
      </c>
    </row>
    <row r="4027" spans="1:12">
      <c r="A4027" t="s">
        <v>4107</v>
      </c>
      <c r="B4027">
        <v>515654</v>
      </c>
      <c r="C4027" s="2" t="str">
        <f>"96312"</f>
        <v>96312</v>
      </c>
      <c r="D4027" t="s">
        <v>4136</v>
      </c>
      <c r="E4027" t="s">
        <v>4</v>
      </c>
      <c r="F4027">
        <v>5.04</v>
      </c>
      <c r="G4027">
        <v>0.42</v>
      </c>
      <c r="H4027" t="s">
        <v>106</v>
      </c>
      <c r="I4027" s="1">
        <v>1.8</v>
      </c>
      <c r="J4027" s="1">
        <v>1.76</v>
      </c>
      <c r="K4027" t="s">
        <v>21</v>
      </c>
      <c r="L4027" s="1">
        <v>1.93</v>
      </c>
    </row>
    <row r="4028" spans="1:12">
      <c r="A4028" t="s">
        <v>4107</v>
      </c>
      <c r="B4028">
        <v>424877</v>
      </c>
      <c r="C4028" s="2" t="str">
        <f>"96420"</f>
        <v>96420</v>
      </c>
      <c r="D4028" t="s">
        <v>4137</v>
      </c>
      <c r="E4028" t="s">
        <v>4</v>
      </c>
      <c r="F4028">
        <v>8.76</v>
      </c>
      <c r="G4028">
        <v>0.73</v>
      </c>
      <c r="H4028" t="s">
        <v>106</v>
      </c>
      <c r="I4028" s="1">
        <v>2.34</v>
      </c>
      <c r="J4028" s="1">
        <v>2.2799999999999998</v>
      </c>
      <c r="K4028" t="s">
        <v>457</v>
      </c>
      <c r="L4028" s="1">
        <v>2.5099999999999998</v>
      </c>
    </row>
    <row r="4029" spans="1:12">
      <c r="A4029" t="s">
        <v>4107</v>
      </c>
      <c r="B4029">
        <v>380270</v>
      </c>
      <c r="C4029" s="2" t="str">
        <f>"96501"</f>
        <v>96501</v>
      </c>
      <c r="D4029" t="s">
        <v>4138</v>
      </c>
      <c r="E4029" t="s">
        <v>4</v>
      </c>
      <c r="F4029">
        <v>6.12</v>
      </c>
      <c r="G4029">
        <v>0.51</v>
      </c>
      <c r="H4029" t="s">
        <v>106</v>
      </c>
      <c r="I4029" s="1">
        <v>5.35</v>
      </c>
      <c r="J4029" s="1">
        <v>5.21</v>
      </c>
      <c r="K4029" t="s">
        <v>457</v>
      </c>
      <c r="L4029" s="1">
        <v>5.73</v>
      </c>
    </row>
    <row r="4030" spans="1:12">
      <c r="A4030" t="s">
        <v>4107</v>
      </c>
      <c r="B4030">
        <v>380281</v>
      </c>
      <c r="C4030" s="2" t="str">
        <f>"96511"</f>
        <v>96511</v>
      </c>
      <c r="D4030" t="s">
        <v>4139</v>
      </c>
      <c r="E4030" t="s">
        <v>4</v>
      </c>
      <c r="F4030">
        <v>9.9600000000000009</v>
      </c>
      <c r="G4030">
        <v>0.83</v>
      </c>
      <c r="H4030" t="s">
        <v>106</v>
      </c>
      <c r="I4030" s="1">
        <v>6.61</v>
      </c>
      <c r="J4030" s="1">
        <v>6.44</v>
      </c>
      <c r="K4030" t="s">
        <v>457</v>
      </c>
      <c r="L4030" s="1">
        <v>7.08</v>
      </c>
    </row>
    <row r="4031" spans="1:12">
      <c r="A4031" t="s">
        <v>4107</v>
      </c>
      <c r="B4031">
        <v>399835</v>
      </c>
      <c r="C4031" s="2" t="str">
        <f>"96516"</f>
        <v>96516</v>
      </c>
      <c r="D4031" t="s">
        <v>4140</v>
      </c>
      <c r="E4031" t="s">
        <v>4</v>
      </c>
      <c r="F4031">
        <v>9</v>
      </c>
      <c r="H4031" t="s">
        <v>5</v>
      </c>
      <c r="I4031" s="1">
        <v>62.77</v>
      </c>
      <c r="J4031" s="1">
        <v>61.07</v>
      </c>
      <c r="K4031" t="s">
        <v>6</v>
      </c>
    </row>
    <row r="4032" spans="1:12">
      <c r="A4032" t="s">
        <v>4107</v>
      </c>
      <c r="B4032">
        <v>380290</v>
      </c>
      <c r="C4032" s="2" t="str">
        <f>"96619"</f>
        <v>96619</v>
      </c>
      <c r="D4032" t="s">
        <v>4141</v>
      </c>
      <c r="E4032" t="s">
        <v>4</v>
      </c>
      <c r="F4032">
        <v>6.42</v>
      </c>
      <c r="G4032">
        <v>1.07</v>
      </c>
      <c r="H4032" t="s">
        <v>20</v>
      </c>
      <c r="I4032" s="1">
        <v>9.02</v>
      </c>
      <c r="J4032" s="1">
        <v>8.7799999999999994</v>
      </c>
      <c r="K4032" t="s">
        <v>457</v>
      </c>
      <c r="L4032" s="1">
        <v>9.65</v>
      </c>
    </row>
    <row r="4033" spans="1:12">
      <c r="A4033" t="s">
        <v>4107</v>
      </c>
      <c r="B4033">
        <v>380292</v>
      </c>
      <c r="C4033" s="2" t="str">
        <f>"96818"</f>
        <v>96818</v>
      </c>
      <c r="D4033" t="s">
        <v>4142</v>
      </c>
      <c r="E4033" t="s">
        <v>4</v>
      </c>
      <c r="F4033">
        <v>5.5</v>
      </c>
      <c r="G4033">
        <v>0.55000000000000004</v>
      </c>
      <c r="H4033" t="s">
        <v>108</v>
      </c>
      <c r="I4033" s="1">
        <v>6.37</v>
      </c>
      <c r="J4033" s="1">
        <v>6.2</v>
      </c>
      <c r="K4033" t="s">
        <v>457</v>
      </c>
      <c r="L4033" s="1">
        <v>6.82</v>
      </c>
    </row>
    <row r="4034" spans="1:12">
      <c r="A4034" t="s">
        <v>4107</v>
      </c>
      <c r="B4034">
        <v>380295</v>
      </c>
      <c r="C4034" s="2" t="str">
        <f>"96823"</f>
        <v>96823</v>
      </c>
      <c r="D4034" t="s">
        <v>4143</v>
      </c>
      <c r="E4034" t="s">
        <v>4</v>
      </c>
      <c r="F4034">
        <v>11.04</v>
      </c>
      <c r="G4034">
        <v>1.84</v>
      </c>
      <c r="H4034" t="s">
        <v>20</v>
      </c>
      <c r="I4034" s="1">
        <v>17.920000000000002</v>
      </c>
      <c r="J4034" s="1">
        <v>17.43</v>
      </c>
      <c r="K4034" t="s">
        <v>457</v>
      </c>
      <c r="L4034" s="1">
        <v>19.18</v>
      </c>
    </row>
    <row r="4035" spans="1:12">
      <c r="A4035" t="s">
        <v>4107</v>
      </c>
      <c r="B4035">
        <v>460975</v>
      </c>
      <c r="C4035" s="2" t="str">
        <f>"96975"</f>
        <v>96975</v>
      </c>
      <c r="D4035" t="s">
        <v>4144</v>
      </c>
      <c r="E4035" t="s">
        <v>4</v>
      </c>
      <c r="F4035">
        <v>20</v>
      </c>
      <c r="H4035" t="s">
        <v>5</v>
      </c>
      <c r="I4035" s="1">
        <v>63.13</v>
      </c>
      <c r="J4035" s="1">
        <v>61.43</v>
      </c>
      <c r="K4035" t="s">
        <v>6</v>
      </c>
    </row>
    <row r="4036" spans="1:12">
      <c r="A4036" t="s">
        <v>4107</v>
      </c>
      <c r="B4036">
        <v>429480</v>
      </c>
      <c r="C4036" s="2" t="str">
        <f>"96978"</f>
        <v>96978</v>
      </c>
      <c r="D4036" t="s">
        <v>4145</v>
      </c>
      <c r="E4036" t="s">
        <v>4</v>
      </c>
      <c r="F4036">
        <v>22.4</v>
      </c>
      <c r="H4036" t="s">
        <v>5</v>
      </c>
      <c r="I4036" s="1">
        <v>82.97</v>
      </c>
      <c r="J4036" s="1">
        <v>80.73</v>
      </c>
      <c r="K4036" t="s">
        <v>6</v>
      </c>
    </row>
    <row r="4037" spans="1:12">
      <c r="A4037" t="s">
        <v>4107</v>
      </c>
      <c r="B4037">
        <v>460022</v>
      </c>
      <c r="C4037" s="2" t="str">
        <f>"96991"</f>
        <v>96991</v>
      </c>
      <c r="D4037" t="s">
        <v>4146</v>
      </c>
      <c r="E4037" t="s">
        <v>4</v>
      </c>
      <c r="F4037">
        <v>19.02</v>
      </c>
      <c r="G4037">
        <v>3.17</v>
      </c>
      <c r="H4037" t="s">
        <v>20</v>
      </c>
      <c r="I4037" s="1">
        <v>8.84</v>
      </c>
      <c r="J4037" s="1">
        <v>8.6</v>
      </c>
      <c r="K4037" t="s">
        <v>457</v>
      </c>
      <c r="L4037" s="1">
        <v>9.4600000000000009</v>
      </c>
    </row>
    <row r="4038" spans="1:12">
      <c r="A4038" t="s">
        <v>4107</v>
      </c>
      <c r="B4038">
        <v>399844</v>
      </c>
      <c r="C4038" s="2" t="str">
        <f>"97113"</f>
        <v>97113</v>
      </c>
      <c r="D4038" t="s">
        <v>4147</v>
      </c>
      <c r="E4038" t="s">
        <v>4</v>
      </c>
      <c r="F4038">
        <v>3</v>
      </c>
      <c r="H4038" t="s">
        <v>5</v>
      </c>
      <c r="I4038" s="1">
        <v>24.17</v>
      </c>
      <c r="J4038" s="1">
        <v>23.52</v>
      </c>
      <c r="K4038" t="s">
        <v>6</v>
      </c>
    </row>
    <row r="4039" spans="1:12">
      <c r="A4039" t="s">
        <v>4107</v>
      </c>
      <c r="B4039">
        <v>399826</v>
      </c>
      <c r="C4039" s="2" t="str">
        <f>"97147-3"</f>
        <v>97147-3</v>
      </c>
      <c r="D4039" t="s">
        <v>4148</v>
      </c>
      <c r="E4039" t="s">
        <v>4</v>
      </c>
      <c r="F4039">
        <v>4.5</v>
      </c>
      <c r="H4039" t="s">
        <v>5</v>
      </c>
      <c r="I4039" s="1">
        <v>18.399999999999999</v>
      </c>
      <c r="J4039" s="1">
        <v>17.899999999999999</v>
      </c>
      <c r="K4039" t="s">
        <v>6</v>
      </c>
    </row>
    <row r="4040" spans="1:12">
      <c r="A4040" t="s">
        <v>4107</v>
      </c>
      <c r="B4040">
        <v>399827</v>
      </c>
      <c r="C4040" s="2" t="str">
        <f>"97157-3"</f>
        <v>97157-3</v>
      </c>
      <c r="D4040" t="s">
        <v>4149</v>
      </c>
      <c r="E4040" t="s">
        <v>4</v>
      </c>
      <c r="F4040">
        <v>4.5</v>
      </c>
      <c r="H4040" t="s">
        <v>5</v>
      </c>
      <c r="I4040" s="1">
        <v>18.940000000000001</v>
      </c>
      <c r="J4040" s="1">
        <v>18.43</v>
      </c>
      <c r="K4040" t="s">
        <v>6</v>
      </c>
    </row>
    <row r="4041" spans="1:12">
      <c r="A4041" t="s">
        <v>4107</v>
      </c>
      <c r="B4041">
        <v>406944</v>
      </c>
      <c r="C4041" s="2" t="str">
        <f>"97159"</f>
        <v>97159</v>
      </c>
      <c r="D4041" t="s">
        <v>4150</v>
      </c>
      <c r="E4041" t="s">
        <v>4</v>
      </c>
      <c r="F4041">
        <v>16.420000000000002</v>
      </c>
      <c r="H4041" t="s">
        <v>5</v>
      </c>
      <c r="I4041" s="1">
        <v>40.4</v>
      </c>
      <c r="J4041" s="1">
        <v>39.31</v>
      </c>
      <c r="K4041" t="s">
        <v>6</v>
      </c>
    </row>
    <row r="4042" spans="1:12">
      <c r="A4042" t="s">
        <v>4107</v>
      </c>
      <c r="B4042">
        <v>380504</v>
      </c>
      <c r="C4042" s="2" t="str">
        <f>"97160"</f>
        <v>97160</v>
      </c>
      <c r="D4042" t="s">
        <v>4151</v>
      </c>
      <c r="E4042" t="s">
        <v>4</v>
      </c>
      <c r="F4042">
        <v>16.420000000000002</v>
      </c>
      <c r="H4042" t="s">
        <v>5</v>
      </c>
      <c r="I4042" s="1">
        <v>55.56</v>
      </c>
      <c r="J4042" s="1">
        <v>54.05</v>
      </c>
      <c r="K4042" t="s">
        <v>6</v>
      </c>
    </row>
    <row r="4043" spans="1:12">
      <c r="A4043" t="s">
        <v>4107</v>
      </c>
      <c r="B4043">
        <v>399842</v>
      </c>
      <c r="C4043" s="2" t="str">
        <f>"97232-NB"</f>
        <v>97232-NB</v>
      </c>
      <c r="D4043" t="s">
        <v>4152</v>
      </c>
      <c r="E4043" t="s">
        <v>4</v>
      </c>
      <c r="F4043">
        <v>3</v>
      </c>
      <c r="H4043" t="s">
        <v>5</v>
      </c>
      <c r="I4043" s="1">
        <v>24.35</v>
      </c>
      <c r="J4043" s="1">
        <v>23.69</v>
      </c>
      <c r="K4043" t="s">
        <v>6</v>
      </c>
    </row>
    <row r="4044" spans="1:12">
      <c r="A4044" t="s">
        <v>4107</v>
      </c>
      <c r="B4044">
        <v>472098</v>
      </c>
      <c r="C4044" s="2" t="str">
        <f>"97412-3"</f>
        <v>97412-3</v>
      </c>
      <c r="D4044" t="s">
        <v>4153</v>
      </c>
      <c r="E4044" t="s">
        <v>4</v>
      </c>
      <c r="F4044">
        <v>1</v>
      </c>
      <c r="H4044" t="s">
        <v>5</v>
      </c>
      <c r="I4044" s="1">
        <v>15.51</v>
      </c>
      <c r="J4044" s="1">
        <v>15.09</v>
      </c>
      <c r="K4044" t="s">
        <v>6</v>
      </c>
    </row>
    <row r="4045" spans="1:12">
      <c r="A4045" t="s">
        <v>4107</v>
      </c>
      <c r="B4045">
        <v>399846</v>
      </c>
      <c r="C4045" s="2" t="str">
        <f>"97413"</f>
        <v>97413</v>
      </c>
      <c r="D4045" t="s">
        <v>4154</v>
      </c>
      <c r="E4045" t="s">
        <v>4</v>
      </c>
      <c r="F4045">
        <v>3</v>
      </c>
      <c r="H4045" t="s">
        <v>5</v>
      </c>
      <c r="I4045" s="1">
        <v>18.399999999999999</v>
      </c>
      <c r="J4045" s="1">
        <v>17.899999999999999</v>
      </c>
      <c r="K4045" t="s">
        <v>6</v>
      </c>
    </row>
    <row r="4046" spans="1:12">
      <c r="A4046" t="s">
        <v>4107</v>
      </c>
      <c r="B4046">
        <v>569612</v>
      </c>
      <c r="C4046" s="2" t="str">
        <f>"97520"</f>
        <v>97520</v>
      </c>
      <c r="D4046" t="s">
        <v>4155</v>
      </c>
      <c r="E4046" t="s">
        <v>4</v>
      </c>
      <c r="F4046">
        <v>13.92</v>
      </c>
      <c r="G4046">
        <v>1.1599999999999999</v>
      </c>
      <c r="H4046" t="s">
        <v>106</v>
      </c>
      <c r="I4046" s="1">
        <v>5.41</v>
      </c>
      <c r="J4046" s="1">
        <v>5.27</v>
      </c>
      <c r="K4046" t="s">
        <v>21</v>
      </c>
      <c r="L4046" s="1">
        <v>5.79</v>
      </c>
    </row>
    <row r="4047" spans="1:12">
      <c r="A4047" t="s">
        <v>4107</v>
      </c>
      <c r="B4047">
        <v>459538</v>
      </c>
      <c r="C4047" s="2" t="str">
        <f>"97560"</f>
        <v>97560</v>
      </c>
      <c r="D4047" t="s">
        <v>4156</v>
      </c>
      <c r="E4047" t="s">
        <v>4</v>
      </c>
      <c r="F4047">
        <v>15.96</v>
      </c>
      <c r="G4047">
        <v>1.33</v>
      </c>
      <c r="H4047" t="s">
        <v>106</v>
      </c>
      <c r="I4047" s="1">
        <v>6.01</v>
      </c>
      <c r="J4047" s="1">
        <v>5.85</v>
      </c>
      <c r="K4047" t="s">
        <v>21</v>
      </c>
      <c r="L4047" s="1">
        <v>6.44</v>
      </c>
    </row>
    <row r="4048" spans="1:12">
      <c r="A4048" t="s">
        <v>4107</v>
      </c>
      <c r="B4048">
        <v>429491</v>
      </c>
      <c r="C4048" s="2" t="str">
        <f>"97613V-3"</f>
        <v>97613V-3</v>
      </c>
      <c r="D4048" t="s">
        <v>4157</v>
      </c>
      <c r="E4048" t="s">
        <v>4</v>
      </c>
      <c r="F4048">
        <v>3.25</v>
      </c>
      <c r="H4048" t="s">
        <v>5</v>
      </c>
      <c r="I4048" s="1">
        <v>11.72</v>
      </c>
      <c r="J4048" s="1">
        <v>11.41</v>
      </c>
      <c r="K4048" t="s">
        <v>6</v>
      </c>
    </row>
    <row r="4049" spans="1:11">
      <c r="A4049" t="s">
        <v>4107</v>
      </c>
      <c r="B4049">
        <v>399822</v>
      </c>
      <c r="C4049" s="2" t="str">
        <f>"97716V-3"</f>
        <v>97716V-3</v>
      </c>
      <c r="D4049" t="s">
        <v>4158</v>
      </c>
      <c r="E4049" t="s">
        <v>4</v>
      </c>
      <c r="F4049">
        <v>3.5</v>
      </c>
      <c r="H4049" t="s">
        <v>5</v>
      </c>
      <c r="I4049" s="1">
        <v>11.72</v>
      </c>
      <c r="J4049" s="1">
        <v>11.41</v>
      </c>
      <c r="K4049" t="s">
        <v>6</v>
      </c>
    </row>
    <row r="4050" spans="1:11">
      <c r="A4050" t="s">
        <v>4107</v>
      </c>
      <c r="B4050">
        <v>399841</v>
      </c>
      <c r="C4050" s="2" t="str">
        <f>"97720V-3"</f>
        <v>97720V-3</v>
      </c>
      <c r="D4050" t="s">
        <v>4159</v>
      </c>
      <c r="E4050" t="s">
        <v>4</v>
      </c>
      <c r="F4050">
        <v>3</v>
      </c>
      <c r="H4050" t="s">
        <v>5</v>
      </c>
      <c r="I4050" s="1">
        <v>13.35</v>
      </c>
      <c r="J4050" s="1">
        <v>12.99</v>
      </c>
      <c r="K4050" t="s">
        <v>6</v>
      </c>
    </row>
    <row r="4051" spans="1:11">
      <c r="A4051" t="s">
        <v>4107</v>
      </c>
      <c r="B4051">
        <v>399823</v>
      </c>
      <c r="C4051" s="2" t="str">
        <f>"97724V-3"</f>
        <v>97724V-3</v>
      </c>
      <c r="D4051" t="s">
        <v>4160</v>
      </c>
      <c r="E4051" t="s">
        <v>4</v>
      </c>
      <c r="F4051">
        <v>5</v>
      </c>
      <c r="H4051" t="s">
        <v>5</v>
      </c>
      <c r="I4051" s="1">
        <v>14.97</v>
      </c>
      <c r="J4051" s="1">
        <v>14.57</v>
      </c>
      <c r="K4051" t="s">
        <v>6</v>
      </c>
    </row>
    <row r="4052" spans="1:11">
      <c r="A4052" t="s">
        <v>4107</v>
      </c>
      <c r="B4052">
        <v>399824</v>
      </c>
      <c r="C4052" s="2" t="str">
        <f>"97732V-3"</f>
        <v>97732V-3</v>
      </c>
      <c r="D4052" t="s">
        <v>4161</v>
      </c>
      <c r="E4052" t="s">
        <v>4</v>
      </c>
      <c r="F4052">
        <v>6.5</v>
      </c>
      <c r="H4052" t="s">
        <v>5</v>
      </c>
      <c r="I4052" s="1">
        <v>18.940000000000001</v>
      </c>
      <c r="J4052" s="1">
        <v>18.43</v>
      </c>
      <c r="K4052" t="s">
        <v>6</v>
      </c>
    </row>
    <row r="4053" spans="1:11">
      <c r="A4053" t="s">
        <v>4107</v>
      </c>
      <c r="B4053">
        <v>412434</v>
      </c>
      <c r="C4053" s="2" t="str">
        <f>"97822-3"</f>
        <v>97822-3</v>
      </c>
      <c r="D4053" t="s">
        <v>4162</v>
      </c>
      <c r="E4053" t="s">
        <v>4</v>
      </c>
      <c r="F4053">
        <v>4.5</v>
      </c>
      <c r="H4053" t="s">
        <v>5</v>
      </c>
      <c r="I4053" s="1">
        <v>16.96</v>
      </c>
      <c r="J4053" s="1">
        <v>16.5</v>
      </c>
      <c r="K4053" t="s">
        <v>6</v>
      </c>
    </row>
    <row r="4054" spans="1:11">
      <c r="A4054" t="s">
        <v>4107</v>
      </c>
      <c r="B4054">
        <v>399831</v>
      </c>
      <c r="C4054" s="2" t="str">
        <f>"97831-3"</f>
        <v>97831-3</v>
      </c>
      <c r="D4054" t="s">
        <v>4163</v>
      </c>
      <c r="E4054" t="s">
        <v>4</v>
      </c>
      <c r="F4054">
        <v>4.5</v>
      </c>
      <c r="H4054" t="s">
        <v>5</v>
      </c>
      <c r="I4054" s="1">
        <v>17.86</v>
      </c>
      <c r="J4054" s="1">
        <v>17.37</v>
      </c>
      <c r="K4054" t="s">
        <v>6</v>
      </c>
    </row>
    <row r="4055" spans="1:11">
      <c r="A4055" t="s">
        <v>4107</v>
      </c>
      <c r="B4055">
        <v>399825</v>
      </c>
      <c r="C4055" s="2" t="str">
        <f>"97924-3"</f>
        <v>97924-3</v>
      </c>
      <c r="D4055" t="s">
        <v>4164</v>
      </c>
      <c r="E4055" t="s">
        <v>4</v>
      </c>
      <c r="F4055">
        <v>5</v>
      </c>
      <c r="H4055" t="s">
        <v>5</v>
      </c>
      <c r="I4055" s="1">
        <v>19.48</v>
      </c>
      <c r="J4055" s="1">
        <v>18.95</v>
      </c>
      <c r="K4055" t="s">
        <v>6</v>
      </c>
    </row>
    <row r="4056" spans="1:11">
      <c r="A4056" t="s">
        <v>4165</v>
      </c>
      <c r="B4056">
        <v>405683</v>
      </c>
      <c r="C4056" s="2" t="str">
        <f>"F1000000134"</f>
        <v>F1000000134</v>
      </c>
      <c r="D4056" t="s">
        <v>4166</v>
      </c>
      <c r="E4056" t="s">
        <v>4</v>
      </c>
      <c r="F4056">
        <v>22.75</v>
      </c>
      <c r="H4056" t="s">
        <v>5</v>
      </c>
      <c r="I4056" s="1">
        <v>202.66</v>
      </c>
      <c r="J4056" s="1">
        <v>194.87</v>
      </c>
      <c r="K4056" t="s">
        <v>6</v>
      </c>
    </row>
    <row r="4057" spans="1:11">
      <c r="A4057" t="s">
        <v>4165</v>
      </c>
      <c r="B4057">
        <v>394620</v>
      </c>
      <c r="C4057" s="2" t="str">
        <f>"F1000000500"</f>
        <v>F1000000500</v>
      </c>
      <c r="D4057" t="s">
        <v>4167</v>
      </c>
      <c r="E4057" t="s">
        <v>4</v>
      </c>
      <c r="F4057">
        <v>19.649999999999999</v>
      </c>
      <c r="H4057" t="s">
        <v>5</v>
      </c>
      <c r="I4057" s="1">
        <v>174.61</v>
      </c>
      <c r="J4057" s="1">
        <v>167.9</v>
      </c>
      <c r="K4057" t="s">
        <v>6</v>
      </c>
    </row>
    <row r="4058" spans="1:11">
      <c r="A4058" t="s">
        <v>4165</v>
      </c>
      <c r="B4058">
        <v>405689</v>
      </c>
      <c r="C4058" s="2" t="str">
        <f>"F1000000528"</f>
        <v>F1000000528</v>
      </c>
      <c r="D4058" t="s">
        <v>4168</v>
      </c>
      <c r="E4058" t="s">
        <v>4</v>
      </c>
      <c r="F4058">
        <v>21.4</v>
      </c>
      <c r="H4058" t="s">
        <v>5</v>
      </c>
      <c r="I4058" s="1">
        <v>284.33</v>
      </c>
      <c r="J4058" s="1">
        <v>273.39</v>
      </c>
      <c r="K4058" t="s">
        <v>6</v>
      </c>
    </row>
    <row r="4059" spans="1:11">
      <c r="A4059" t="s">
        <v>4165</v>
      </c>
      <c r="B4059">
        <v>405693</v>
      </c>
      <c r="C4059" s="2" t="str">
        <f>"F1000000700"</f>
        <v>F1000000700</v>
      </c>
      <c r="D4059" t="s">
        <v>4169</v>
      </c>
      <c r="E4059" t="s">
        <v>4</v>
      </c>
      <c r="F4059">
        <v>19.899999999999999</v>
      </c>
      <c r="H4059" t="s">
        <v>5</v>
      </c>
      <c r="I4059" s="1">
        <v>206.45</v>
      </c>
      <c r="J4059" s="1">
        <v>198.51</v>
      </c>
      <c r="K4059" t="s">
        <v>6</v>
      </c>
    </row>
    <row r="4060" spans="1:11">
      <c r="A4060" t="s">
        <v>4165</v>
      </c>
      <c r="B4060">
        <v>372921</v>
      </c>
      <c r="C4060" s="2" t="str">
        <f>"F1000000705"</f>
        <v>F1000000705</v>
      </c>
      <c r="D4060" t="s">
        <v>4170</v>
      </c>
      <c r="E4060" t="s">
        <v>4</v>
      </c>
      <c r="F4060">
        <v>22.1</v>
      </c>
      <c r="H4060" t="s">
        <v>5</v>
      </c>
      <c r="I4060" s="1">
        <v>206.45</v>
      </c>
      <c r="J4060" s="1">
        <v>198.51</v>
      </c>
      <c r="K4060" t="s">
        <v>6</v>
      </c>
    </row>
    <row r="4061" spans="1:11">
      <c r="A4061" t="s">
        <v>4165</v>
      </c>
      <c r="B4061">
        <v>372927</v>
      </c>
      <c r="C4061" s="2" t="str">
        <f>"F1000000765"</f>
        <v>F1000000765</v>
      </c>
      <c r="D4061" t="s">
        <v>4171</v>
      </c>
      <c r="E4061" t="s">
        <v>4</v>
      </c>
      <c r="F4061">
        <v>24</v>
      </c>
      <c r="H4061" t="s">
        <v>5</v>
      </c>
      <c r="I4061" s="1">
        <v>218.62</v>
      </c>
      <c r="J4061" s="1">
        <v>210.21</v>
      </c>
      <c r="K4061" t="s">
        <v>6</v>
      </c>
    </row>
    <row r="4062" spans="1:11">
      <c r="A4062" t="s">
        <v>4165</v>
      </c>
      <c r="B4062">
        <v>386795</v>
      </c>
      <c r="C4062" s="2" t="str">
        <f>"F1000000790"</f>
        <v>F1000000790</v>
      </c>
      <c r="D4062" t="s">
        <v>4172</v>
      </c>
      <c r="E4062" t="s">
        <v>4</v>
      </c>
      <c r="F4062">
        <v>27.85</v>
      </c>
      <c r="H4062" t="s">
        <v>5</v>
      </c>
      <c r="I4062" s="1">
        <v>315.14999999999998</v>
      </c>
      <c r="J4062" s="1">
        <v>303.02999999999997</v>
      </c>
      <c r="K4062" t="s">
        <v>6</v>
      </c>
    </row>
    <row r="4063" spans="1:11">
      <c r="A4063" t="s">
        <v>4165</v>
      </c>
      <c r="B4063">
        <v>369021</v>
      </c>
      <c r="C4063" s="2" t="str">
        <f>"F1040000117"</f>
        <v>F1040000117</v>
      </c>
      <c r="D4063" t="s">
        <v>4173</v>
      </c>
      <c r="E4063" t="s">
        <v>4</v>
      </c>
      <c r="F4063">
        <v>20.25</v>
      </c>
      <c r="H4063" t="s">
        <v>5</v>
      </c>
      <c r="I4063" s="1">
        <v>222.88</v>
      </c>
      <c r="J4063" s="1">
        <v>214.31</v>
      </c>
      <c r="K4063" t="s">
        <v>6</v>
      </c>
    </row>
    <row r="4064" spans="1:11">
      <c r="A4064" t="s">
        <v>4165</v>
      </c>
      <c r="B4064">
        <v>369642</v>
      </c>
      <c r="C4064" s="2" t="str">
        <f>"F1040000125"</f>
        <v>F1040000125</v>
      </c>
      <c r="D4064" t="s">
        <v>4174</v>
      </c>
      <c r="E4064" t="s">
        <v>4</v>
      </c>
      <c r="F4064">
        <v>29.75</v>
      </c>
      <c r="H4064" t="s">
        <v>5</v>
      </c>
      <c r="I4064" s="1">
        <v>243.77</v>
      </c>
      <c r="J4064" s="1">
        <v>234.39</v>
      </c>
      <c r="K4064" t="s">
        <v>6</v>
      </c>
    </row>
    <row r="4065" spans="1:11">
      <c r="A4065" t="s">
        <v>4165</v>
      </c>
      <c r="B4065">
        <v>369027</v>
      </c>
      <c r="C4065" s="2" t="str">
        <f>"F1040000139"</f>
        <v>F1040000139</v>
      </c>
      <c r="D4065" t="s">
        <v>4175</v>
      </c>
      <c r="E4065" t="s">
        <v>4</v>
      </c>
      <c r="F4065">
        <v>34.15</v>
      </c>
      <c r="H4065" t="s">
        <v>5</v>
      </c>
      <c r="I4065" s="1">
        <v>238.9</v>
      </c>
      <c r="J4065" s="1">
        <v>229.71</v>
      </c>
      <c r="K4065" t="s">
        <v>6</v>
      </c>
    </row>
    <row r="4066" spans="1:11">
      <c r="A4066" t="s">
        <v>4165</v>
      </c>
      <c r="B4066">
        <v>390053</v>
      </c>
      <c r="C4066" s="2" t="str">
        <f>"F1040000145"</f>
        <v>F1040000145</v>
      </c>
      <c r="D4066" t="s">
        <v>4176</v>
      </c>
      <c r="E4066" t="s">
        <v>4</v>
      </c>
      <c r="F4066">
        <v>38.85</v>
      </c>
      <c r="H4066" t="s">
        <v>5</v>
      </c>
      <c r="I4066" s="1">
        <v>257.95999999999998</v>
      </c>
      <c r="J4066" s="1">
        <v>248.04</v>
      </c>
      <c r="K4066" t="s">
        <v>6</v>
      </c>
    </row>
    <row r="4067" spans="1:11">
      <c r="A4067" t="s">
        <v>4165</v>
      </c>
      <c r="B4067">
        <v>369035</v>
      </c>
      <c r="C4067" s="2" t="str">
        <f>"F1040000149"</f>
        <v>F1040000149</v>
      </c>
      <c r="D4067" t="s">
        <v>4177</v>
      </c>
      <c r="E4067" t="s">
        <v>4</v>
      </c>
      <c r="F4067">
        <v>22.55</v>
      </c>
      <c r="H4067" t="s">
        <v>5</v>
      </c>
      <c r="I4067" s="1">
        <v>185.76</v>
      </c>
      <c r="J4067" s="1">
        <v>178.62</v>
      </c>
      <c r="K4067" t="s">
        <v>6</v>
      </c>
    </row>
    <row r="4068" spans="1:11">
      <c r="A4068" t="s">
        <v>4165</v>
      </c>
      <c r="B4068">
        <v>370734</v>
      </c>
      <c r="C4068" s="2" t="str">
        <f>"F1040000361"</f>
        <v>F1040000361</v>
      </c>
      <c r="D4068" t="s">
        <v>4178</v>
      </c>
      <c r="E4068" t="s">
        <v>4</v>
      </c>
      <c r="F4068">
        <v>20.7</v>
      </c>
      <c r="H4068" t="s">
        <v>5</v>
      </c>
      <c r="I4068" s="1">
        <v>214.49</v>
      </c>
      <c r="J4068" s="1">
        <v>206.25</v>
      </c>
      <c r="K4068" t="s">
        <v>6</v>
      </c>
    </row>
    <row r="4069" spans="1:11">
      <c r="A4069" t="s">
        <v>4165</v>
      </c>
      <c r="B4069">
        <v>369466</v>
      </c>
      <c r="C4069" s="2" t="str">
        <f>"F1040000500"</f>
        <v>F1040000500</v>
      </c>
      <c r="D4069" t="s">
        <v>4179</v>
      </c>
      <c r="E4069" t="s">
        <v>4</v>
      </c>
      <c r="F4069">
        <v>16.600000000000001</v>
      </c>
      <c r="H4069" t="s">
        <v>5</v>
      </c>
      <c r="I4069" s="1">
        <v>197.12</v>
      </c>
      <c r="J4069" s="1">
        <v>189.54</v>
      </c>
      <c r="K4069" t="s">
        <v>6</v>
      </c>
    </row>
    <row r="4070" spans="1:11">
      <c r="A4070" t="s">
        <v>4165</v>
      </c>
      <c r="B4070">
        <v>371432</v>
      </c>
      <c r="C4070" s="2" t="str">
        <f>"F1040000510"</f>
        <v>F1040000510</v>
      </c>
      <c r="D4070" t="s">
        <v>4180</v>
      </c>
      <c r="E4070" t="s">
        <v>4</v>
      </c>
      <c r="F4070">
        <v>19.25</v>
      </c>
      <c r="H4070" t="s">
        <v>5</v>
      </c>
      <c r="I4070" s="1">
        <v>326.51</v>
      </c>
      <c r="J4070" s="1">
        <v>313.95</v>
      </c>
      <c r="K4070" t="s">
        <v>6</v>
      </c>
    </row>
    <row r="4071" spans="1:11">
      <c r="A4071" t="s">
        <v>4165</v>
      </c>
      <c r="B4071">
        <v>369459</v>
      </c>
      <c r="C4071" s="2" t="str">
        <f>"F1040000520"</f>
        <v>F1040000520</v>
      </c>
      <c r="D4071" t="s">
        <v>4181</v>
      </c>
      <c r="E4071" t="s">
        <v>4</v>
      </c>
      <c r="F4071">
        <v>22</v>
      </c>
      <c r="H4071" t="s">
        <v>5</v>
      </c>
      <c r="I4071" s="1">
        <v>326.51</v>
      </c>
      <c r="J4071" s="1">
        <v>313.95</v>
      </c>
      <c r="K4071" t="s">
        <v>6</v>
      </c>
    </row>
    <row r="4072" spans="1:11">
      <c r="A4072" t="s">
        <v>4165</v>
      </c>
      <c r="B4072">
        <v>372525</v>
      </c>
      <c r="C4072" s="2" t="str">
        <f>"F1040000560"</f>
        <v>F1040000560</v>
      </c>
      <c r="D4072" t="s">
        <v>4182</v>
      </c>
      <c r="E4072" t="s">
        <v>4</v>
      </c>
      <c r="F4072">
        <v>26</v>
      </c>
      <c r="H4072" t="s">
        <v>5</v>
      </c>
      <c r="I4072" s="1">
        <v>354.7</v>
      </c>
      <c r="J4072" s="1">
        <v>341.06</v>
      </c>
      <c r="K4072" t="s">
        <v>6</v>
      </c>
    </row>
    <row r="4073" spans="1:11">
      <c r="A4073" t="s">
        <v>4165</v>
      </c>
      <c r="B4073">
        <v>369030</v>
      </c>
      <c r="C4073" s="2" t="str">
        <f>"F1040000700"</f>
        <v>F1040000700</v>
      </c>
      <c r="D4073" t="s">
        <v>4183</v>
      </c>
      <c r="E4073" t="s">
        <v>4</v>
      </c>
      <c r="F4073">
        <v>18.399999999999999</v>
      </c>
      <c r="H4073" t="s">
        <v>5</v>
      </c>
      <c r="I4073" s="1">
        <v>233.63</v>
      </c>
      <c r="J4073" s="1">
        <v>224.64</v>
      </c>
      <c r="K4073" t="s">
        <v>6</v>
      </c>
    </row>
    <row r="4074" spans="1:11">
      <c r="A4074" t="s">
        <v>4165</v>
      </c>
      <c r="B4074">
        <v>369629</v>
      </c>
      <c r="C4074" s="2" t="str">
        <f>"F1040000710"</f>
        <v>F1040000710</v>
      </c>
      <c r="D4074" t="s">
        <v>4184</v>
      </c>
      <c r="E4074" t="s">
        <v>4</v>
      </c>
      <c r="F4074">
        <v>15.8</v>
      </c>
      <c r="H4074" t="s">
        <v>5</v>
      </c>
      <c r="I4074" s="1">
        <v>182.52</v>
      </c>
      <c r="J4074" s="1">
        <v>175.5</v>
      </c>
      <c r="K4074" t="s">
        <v>6</v>
      </c>
    </row>
    <row r="4075" spans="1:11">
      <c r="A4075" t="s">
        <v>4165</v>
      </c>
      <c r="B4075">
        <v>369484</v>
      </c>
      <c r="C4075" s="2" t="str">
        <f>"F1040000720"</f>
        <v>F1040000720</v>
      </c>
      <c r="D4075" t="s">
        <v>4185</v>
      </c>
      <c r="E4075" t="s">
        <v>4</v>
      </c>
      <c r="F4075">
        <v>25.6</v>
      </c>
      <c r="H4075" t="s">
        <v>5</v>
      </c>
      <c r="I4075" s="1">
        <v>278.04000000000002</v>
      </c>
      <c r="J4075" s="1">
        <v>267.35000000000002</v>
      </c>
      <c r="K4075" t="s">
        <v>6</v>
      </c>
    </row>
    <row r="4076" spans="1:11">
      <c r="A4076" t="s">
        <v>4165</v>
      </c>
      <c r="B4076">
        <v>369477</v>
      </c>
      <c r="C4076" s="2" t="str">
        <f>"F1040000740"</f>
        <v>F1040000740</v>
      </c>
      <c r="D4076" t="s">
        <v>4186</v>
      </c>
      <c r="E4076" t="s">
        <v>4</v>
      </c>
      <c r="F4076">
        <v>31.15</v>
      </c>
      <c r="H4076" t="s">
        <v>5</v>
      </c>
      <c r="I4076" s="1">
        <v>217.67</v>
      </c>
      <c r="J4076" s="1">
        <v>209.3</v>
      </c>
      <c r="K4076" t="s">
        <v>6</v>
      </c>
    </row>
    <row r="4077" spans="1:11">
      <c r="A4077" t="s">
        <v>4165</v>
      </c>
      <c r="B4077">
        <v>372837</v>
      </c>
      <c r="C4077" s="2" t="str">
        <f>"F1040000760"</f>
        <v>F1040000760</v>
      </c>
      <c r="D4077" t="s">
        <v>4187</v>
      </c>
      <c r="E4077" t="s">
        <v>4</v>
      </c>
      <c r="F4077">
        <v>22.2</v>
      </c>
      <c r="H4077" t="s">
        <v>5</v>
      </c>
      <c r="I4077" s="1">
        <v>350.44</v>
      </c>
      <c r="J4077" s="1">
        <v>336.96</v>
      </c>
      <c r="K4077" t="s">
        <v>6</v>
      </c>
    </row>
    <row r="4078" spans="1:11">
      <c r="A4078" t="s">
        <v>4165</v>
      </c>
      <c r="B4078">
        <v>408989</v>
      </c>
      <c r="C4078" s="2" t="str">
        <f>"F1040728117"</f>
        <v>F1040728117</v>
      </c>
      <c r="D4078" t="s">
        <v>4188</v>
      </c>
      <c r="E4078" t="s">
        <v>4</v>
      </c>
      <c r="F4078">
        <v>20.5</v>
      </c>
      <c r="H4078" t="s">
        <v>5</v>
      </c>
      <c r="I4078" s="1">
        <v>265.67</v>
      </c>
      <c r="J4078" s="1">
        <v>255.45</v>
      </c>
      <c r="K4078" t="s">
        <v>6</v>
      </c>
    </row>
    <row r="4079" spans="1:11">
      <c r="A4079" t="s">
        <v>4165</v>
      </c>
      <c r="B4079">
        <v>399709</v>
      </c>
      <c r="C4079" s="2" t="str">
        <f>"F1040728139"</f>
        <v>F1040728139</v>
      </c>
      <c r="D4079" t="s">
        <v>4189</v>
      </c>
      <c r="E4079" t="s">
        <v>4</v>
      </c>
      <c r="F4079">
        <v>33.200000000000003</v>
      </c>
      <c r="H4079" t="s">
        <v>5</v>
      </c>
      <c r="I4079" s="1">
        <v>286.22000000000003</v>
      </c>
      <c r="J4079" s="1">
        <v>275.20999999999998</v>
      </c>
      <c r="K4079" t="s">
        <v>6</v>
      </c>
    </row>
    <row r="4080" spans="1:11">
      <c r="A4080" t="s">
        <v>4165</v>
      </c>
      <c r="B4080">
        <v>386815</v>
      </c>
      <c r="C4080" s="2" t="str">
        <f>"F1040728710"</f>
        <v>F1040728710</v>
      </c>
      <c r="D4080" t="s">
        <v>4190</v>
      </c>
      <c r="E4080" t="s">
        <v>4</v>
      </c>
      <c r="F4080">
        <v>15.48</v>
      </c>
      <c r="H4080" t="s">
        <v>5</v>
      </c>
      <c r="I4080" s="1">
        <v>217.4</v>
      </c>
      <c r="J4080" s="1">
        <v>209.04</v>
      </c>
      <c r="K4080" t="s">
        <v>6</v>
      </c>
    </row>
    <row r="4081" spans="1:11">
      <c r="A4081" t="s">
        <v>4165</v>
      </c>
      <c r="B4081">
        <v>386911</v>
      </c>
      <c r="C4081" s="2" t="str">
        <f>"F1500000111"</f>
        <v>F1500000111</v>
      </c>
      <c r="D4081" t="s">
        <v>4191</v>
      </c>
      <c r="E4081" t="s">
        <v>4</v>
      </c>
      <c r="F4081">
        <v>18.5</v>
      </c>
      <c r="H4081" t="s">
        <v>5</v>
      </c>
      <c r="I4081" s="1">
        <v>114.78</v>
      </c>
      <c r="J4081" s="1">
        <v>110.37</v>
      </c>
      <c r="K4081" t="s">
        <v>6</v>
      </c>
    </row>
    <row r="4082" spans="1:11">
      <c r="A4082" t="s">
        <v>4165</v>
      </c>
      <c r="B4082">
        <v>369639</v>
      </c>
      <c r="C4082" s="2" t="str">
        <f>"F1500000139"</f>
        <v>F1500000139</v>
      </c>
      <c r="D4082" t="s">
        <v>4192</v>
      </c>
      <c r="E4082" t="s">
        <v>4</v>
      </c>
      <c r="F4082">
        <v>35.549999999999997</v>
      </c>
      <c r="H4082" t="s">
        <v>5</v>
      </c>
      <c r="I4082" s="1">
        <v>164.81</v>
      </c>
      <c r="J4082" s="1">
        <v>158.47</v>
      </c>
      <c r="K4082" t="s">
        <v>6</v>
      </c>
    </row>
    <row r="4083" spans="1:11">
      <c r="A4083" t="s">
        <v>4165</v>
      </c>
      <c r="B4083">
        <v>371427</v>
      </c>
      <c r="C4083" s="2" t="str">
        <f>"F1500000145"</f>
        <v>F1500000145</v>
      </c>
      <c r="D4083" t="s">
        <v>4193</v>
      </c>
      <c r="E4083" t="s">
        <v>4</v>
      </c>
      <c r="F4083">
        <v>39.549999999999997</v>
      </c>
      <c r="H4083" t="s">
        <v>5</v>
      </c>
      <c r="I4083" s="1">
        <v>184.95</v>
      </c>
      <c r="J4083" s="1">
        <v>177.84</v>
      </c>
      <c r="K4083" t="s">
        <v>6</v>
      </c>
    </row>
    <row r="4084" spans="1:11">
      <c r="A4084" t="s">
        <v>4165</v>
      </c>
      <c r="B4084">
        <v>372937</v>
      </c>
      <c r="C4084" s="2" t="str">
        <f>"F1500000151"</f>
        <v>F1500000151</v>
      </c>
      <c r="D4084" t="s">
        <v>4194</v>
      </c>
      <c r="E4084" t="s">
        <v>4</v>
      </c>
      <c r="F4084">
        <v>28.4</v>
      </c>
      <c r="H4084" t="s">
        <v>5</v>
      </c>
      <c r="I4084" s="1">
        <v>134.12</v>
      </c>
      <c r="J4084" s="1">
        <v>128.96</v>
      </c>
      <c r="K4084" t="s">
        <v>6</v>
      </c>
    </row>
    <row r="4085" spans="1:11">
      <c r="A4085" t="s">
        <v>4165</v>
      </c>
      <c r="B4085">
        <v>394631</v>
      </c>
      <c r="C4085" s="2" t="str">
        <f>"F1500000156"</f>
        <v>F1500000156</v>
      </c>
      <c r="D4085" t="s">
        <v>4195</v>
      </c>
      <c r="E4085" t="s">
        <v>4</v>
      </c>
      <c r="F4085">
        <v>31.3</v>
      </c>
      <c r="H4085" t="s">
        <v>5</v>
      </c>
      <c r="I4085" s="1">
        <v>205.91</v>
      </c>
      <c r="J4085" s="1">
        <v>197.99</v>
      </c>
      <c r="K4085" t="s">
        <v>6</v>
      </c>
    </row>
    <row r="4086" spans="1:11">
      <c r="A4086" t="s">
        <v>4165</v>
      </c>
      <c r="B4086">
        <v>370711</v>
      </c>
      <c r="C4086" s="2" t="str">
        <f>"F1500000342"</f>
        <v>F1500000342</v>
      </c>
      <c r="D4086" t="s">
        <v>4196</v>
      </c>
      <c r="E4086" t="s">
        <v>4</v>
      </c>
      <c r="F4086">
        <v>28.4</v>
      </c>
      <c r="H4086" t="s">
        <v>5</v>
      </c>
      <c r="I4086" s="1">
        <v>196.85</v>
      </c>
      <c r="J4086" s="1">
        <v>189.28</v>
      </c>
      <c r="K4086" t="s">
        <v>6</v>
      </c>
    </row>
    <row r="4087" spans="1:11">
      <c r="A4087" t="s">
        <v>4165</v>
      </c>
      <c r="B4087">
        <v>369604</v>
      </c>
      <c r="C4087" s="2" t="str">
        <f>"F1500000359"</f>
        <v>F1500000359</v>
      </c>
      <c r="D4087" t="s">
        <v>4197</v>
      </c>
      <c r="E4087" t="s">
        <v>4</v>
      </c>
      <c r="F4087">
        <v>20.7</v>
      </c>
      <c r="H4087" t="s">
        <v>5</v>
      </c>
      <c r="I4087" s="1">
        <v>140.61000000000001</v>
      </c>
      <c r="J4087" s="1">
        <v>135.19999999999999</v>
      </c>
      <c r="K4087" t="s">
        <v>6</v>
      </c>
    </row>
    <row r="4088" spans="1:11">
      <c r="A4088" t="s">
        <v>4165</v>
      </c>
      <c r="B4088">
        <v>370713</v>
      </c>
      <c r="C4088" s="2" t="str">
        <f>"F1500000501"</f>
        <v>F1500000501</v>
      </c>
      <c r="D4088" t="s">
        <v>4198</v>
      </c>
      <c r="E4088" t="s">
        <v>4</v>
      </c>
      <c r="F4088">
        <v>16.63</v>
      </c>
      <c r="H4088" t="s">
        <v>5</v>
      </c>
      <c r="I4088" s="1">
        <v>130.19999999999999</v>
      </c>
      <c r="J4088" s="1">
        <v>125.19</v>
      </c>
      <c r="K4088" t="s">
        <v>6</v>
      </c>
    </row>
    <row r="4089" spans="1:11">
      <c r="A4089" t="s">
        <v>4165</v>
      </c>
      <c r="B4089">
        <v>372924</v>
      </c>
      <c r="C4089" s="2" t="str">
        <f>"F1500000520"</f>
        <v>F1500000520</v>
      </c>
      <c r="D4089" t="s">
        <v>4199</v>
      </c>
      <c r="E4089" t="s">
        <v>4</v>
      </c>
      <c r="F4089">
        <v>22</v>
      </c>
      <c r="H4089" t="s">
        <v>5</v>
      </c>
      <c r="I4089" s="1">
        <v>186.78</v>
      </c>
      <c r="J4089" s="1">
        <v>179.6</v>
      </c>
      <c r="K4089" t="s">
        <v>6</v>
      </c>
    </row>
    <row r="4090" spans="1:11">
      <c r="A4090" t="s">
        <v>4165</v>
      </c>
      <c r="B4090">
        <v>370738</v>
      </c>
      <c r="C4090" s="2" t="str">
        <f>"F1500000560"</f>
        <v>F1500000560</v>
      </c>
      <c r="D4090" t="s">
        <v>4200</v>
      </c>
      <c r="E4090" t="s">
        <v>4</v>
      </c>
      <c r="F4090">
        <v>32</v>
      </c>
      <c r="H4090" t="s">
        <v>5</v>
      </c>
      <c r="I4090" s="1">
        <v>260.39999999999998</v>
      </c>
      <c r="J4090" s="1">
        <v>250.38</v>
      </c>
      <c r="K4090" t="s">
        <v>6</v>
      </c>
    </row>
    <row r="4091" spans="1:11">
      <c r="A4091" t="s">
        <v>4165</v>
      </c>
      <c r="B4091">
        <v>369647</v>
      </c>
      <c r="C4091" s="2" t="str">
        <f>"F1500000710"</f>
        <v>F1500000710</v>
      </c>
      <c r="D4091" t="s">
        <v>4201</v>
      </c>
      <c r="E4091" t="s">
        <v>4</v>
      </c>
      <c r="F4091">
        <v>13.55</v>
      </c>
      <c r="H4091" t="s">
        <v>5</v>
      </c>
      <c r="I4091" s="1">
        <v>98.76</v>
      </c>
      <c r="J4091" s="1">
        <v>94.97</v>
      </c>
      <c r="K4091" t="s">
        <v>6</v>
      </c>
    </row>
    <row r="4092" spans="1:11">
      <c r="A4092" t="s">
        <v>4165</v>
      </c>
      <c r="B4092">
        <v>370730</v>
      </c>
      <c r="C4092" s="2" t="str">
        <f>"F1500000731"</f>
        <v>F1500000731</v>
      </c>
      <c r="D4092" t="s">
        <v>4202</v>
      </c>
      <c r="E4092" t="s">
        <v>4</v>
      </c>
      <c r="F4092">
        <v>35</v>
      </c>
      <c r="H4092" t="s">
        <v>5</v>
      </c>
      <c r="I4092" s="1">
        <v>241.94</v>
      </c>
      <c r="J4092" s="1">
        <v>232.64</v>
      </c>
      <c r="K4092" t="s">
        <v>6</v>
      </c>
    </row>
    <row r="4093" spans="1:11">
      <c r="A4093" t="s">
        <v>4165</v>
      </c>
      <c r="B4093">
        <v>420453</v>
      </c>
      <c r="C4093" s="2" t="str">
        <f>"F1500000740"</f>
        <v>F1500000740</v>
      </c>
      <c r="D4093" t="s">
        <v>4203</v>
      </c>
      <c r="E4093" t="s">
        <v>4</v>
      </c>
      <c r="F4093">
        <v>27</v>
      </c>
      <c r="H4093" t="s">
        <v>5</v>
      </c>
      <c r="I4093" s="1">
        <v>198.34</v>
      </c>
      <c r="J4093" s="1">
        <v>190.71</v>
      </c>
      <c r="K4093" t="s">
        <v>6</v>
      </c>
    </row>
    <row r="4094" spans="1:11">
      <c r="A4094" t="s">
        <v>4165</v>
      </c>
      <c r="B4094">
        <v>370719</v>
      </c>
      <c r="C4094" s="2" t="str">
        <f>"F1500000741"</f>
        <v>F1500000741</v>
      </c>
      <c r="D4094" t="s">
        <v>4204</v>
      </c>
      <c r="E4094" t="s">
        <v>4</v>
      </c>
      <c r="F4094">
        <v>36</v>
      </c>
      <c r="H4094" t="s">
        <v>5</v>
      </c>
      <c r="I4094" s="1">
        <v>201.58</v>
      </c>
      <c r="J4094" s="1">
        <v>193.83</v>
      </c>
      <c r="K4094" t="s">
        <v>6</v>
      </c>
    </row>
    <row r="4095" spans="1:11">
      <c r="A4095" t="s">
        <v>4165</v>
      </c>
      <c r="B4095">
        <v>370756</v>
      </c>
      <c r="C4095" s="2" t="str">
        <f>"F1520000143"</f>
        <v>F1520000143</v>
      </c>
      <c r="D4095" t="s">
        <v>4205</v>
      </c>
      <c r="E4095" t="s">
        <v>4</v>
      </c>
      <c r="F4095">
        <v>39.5</v>
      </c>
      <c r="H4095" t="s">
        <v>5</v>
      </c>
      <c r="I4095" s="1">
        <v>201.58</v>
      </c>
      <c r="J4095" s="1">
        <v>193.83</v>
      </c>
      <c r="K4095" t="s">
        <v>6</v>
      </c>
    </row>
    <row r="4096" spans="1:11">
      <c r="A4096" t="s">
        <v>4165</v>
      </c>
      <c r="B4096">
        <v>370721</v>
      </c>
      <c r="C4096" s="2" t="str">
        <f>"F1520000151"</f>
        <v>F1520000151</v>
      </c>
      <c r="D4096" t="s">
        <v>4206</v>
      </c>
      <c r="E4096" t="s">
        <v>4</v>
      </c>
      <c r="F4096">
        <v>26</v>
      </c>
      <c r="H4096" t="s">
        <v>5</v>
      </c>
      <c r="I4096" s="1">
        <v>146.15</v>
      </c>
      <c r="J4096" s="1">
        <v>140.53</v>
      </c>
      <c r="K4096" t="s">
        <v>6</v>
      </c>
    </row>
    <row r="4097" spans="1:11">
      <c r="A4097" t="s">
        <v>4165</v>
      </c>
      <c r="B4097">
        <v>369612</v>
      </c>
      <c r="C4097" s="2" t="str">
        <f>"F1520000510"</f>
        <v>F1520000510</v>
      </c>
      <c r="D4097" t="s">
        <v>4207</v>
      </c>
      <c r="E4097" t="s">
        <v>4</v>
      </c>
      <c r="F4097">
        <v>29</v>
      </c>
      <c r="H4097" t="s">
        <v>5</v>
      </c>
      <c r="I4097" s="1">
        <v>186.78</v>
      </c>
      <c r="J4097" s="1">
        <v>179.6</v>
      </c>
      <c r="K4097" t="s">
        <v>6</v>
      </c>
    </row>
    <row r="4098" spans="1:11">
      <c r="A4098" t="s">
        <v>4165</v>
      </c>
      <c r="B4098">
        <v>426530</v>
      </c>
      <c r="C4098" s="2" t="str">
        <f>"F1520000560"</f>
        <v>F1520000560</v>
      </c>
      <c r="D4098" t="s">
        <v>4208</v>
      </c>
      <c r="E4098" t="s">
        <v>4</v>
      </c>
      <c r="F4098">
        <v>27.05</v>
      </c>
      <c r="H4098" t="s">
        <v>5</v>
      </c>
      <c r="I4098" s="1">
        <v>323.47000000000003</v>
      </c>
      <c r="J4098" s="1">
        <v>311.02999999999997</v>
      </c>
      <c r="K4098" t="s">
        <v>6</v>
      </c>
    </row>
    <row r="4099" spans="1:11">
      <c r="A4099" t="s">
        <v>4165</v>
      </c>
      <c r="B4099">
        <v>369016</v>
      </c>
      <c r="C4099" s="2" t="str">
        <f>"F1520514710"</f>
        <v>F1520514710</v>
      </c>
      <c r="D4099" t="s">
        <v>4209</v>
      </c>
      <c r="E4099" t="s">
        <v>4</v>
      </c>
      <c r="F4099">
        <v>9</v>
      </c>
      <c r="H4099" t="s">
        <v>5</v>
      </c>
      <c r="I4099" s="1">
        <v>142.16</v>
      </c>
      <c r="J4099" s="1">
        <v>136.69999999999999</v>
      </c>
      <c r="K4099" t="s">
        <v>6</v>
      </c>
    </row>
    <row r="4100" spans="1:11">
      <c r="A4100" t="s">
        <v>4165</v>
      </c>
      <c r="B4100">
        <v>369023</v>
      </c>
      <c r="C4100" s="2" t="str">
        <f>"F1560000360"</f>
        <v>F1560000360</v>
      </c>
      <c r="D4100" t="s">
        <v>4210</v>
      </c>
      <c r="E4100" t="s">
        <v>4</v>
      </c>
      <c r="F4100">
        <v>24.3</v>
      </c>
      <c r="H4100" t="s">
        <v>5</v>
      </c>
      <c r="I4100" s="1">
        <v>169.61</v>
      </c>
      <c r="J4100" s="1">
        <v>163.09</v>
      </c>
      <c r="K4100" t="s">
        <v>6</v>
      </c>
    </row>
    <row r="4101" spans="1:11">
      <c r="A4101" t="s">
        <v>4165</v>
      </c>
      <c r="B4101">
        <v>378411</v>
      </c>
      <c r="C4101" s="2" t="str">
        <f>"F1560000520"</f>
        <v>F1560000520</v>
      </c>
      <c r="D4101" t="s">
        <v>4211</v>
      </c>
      <c r="E4101" t="s">
        <v>4</v>
      </c>
      <c r="F4101">
        <v>25.1</v>
      </c>
      <c r="H4101" t="s">
        <v>5</v>
      </c>
      <c r="I4101" s="1">
        <v>206.04</v>
      </c>
      <c r="J4101" s="1">
        <v>198.12</v>
      </c>
      <c r="K4101" t="s">
        <v>6</v>
      </c>
    </row>
    <row r="4102" spans="1:11">
      <c r="A4102" t="s">
        <v>4165</v>
      </c>
      <c r="B4102">
        <v>369609</v>
      </c>
      <c r="C4102" s="2" t="str">
        <f>"F1560000710"</f>
        <v>F1560000710</v>
      </c>
      <c r="D4102" t="s">
        <v>4212</v>
      </c>
      <c r="E4102" t="s">
        <v>4</v>
      </c>
      <c r="F4102">
        <v>14.35</v>
      </c>
      <c r="H4102" t="s">
        <v>5</v>
      </c>
      <c r="I4102" s="1">
        <v>116.61</v>
      </c>
      <c r="J4102" s="1">
        <v>112.13</v>
      </c>
      <c r="K4102" t="s">
        <v>6</v>
      </c>
    </row>
    <row r="4103" spans="1:11">
      <c r="A4103" t="s">
        <v>4165</v>
      </c>
      <c r="B4103">
        <v>369617</v>
      </c>
      <c r="C4103" s="2" t="str">
        <f>"F1992000560"</f>
        <v>F1992000560</v>
      </c>
      <c r="D4103" t="s">
        <v>4213</v>
      </c>
      <c r="E4103" t="s">
        <v>4</v>
      </c>
      <c r="F4103">
        <v>30.35</v>
      </c>
      <c r="H4103" t="s">
        <v>5</v>
      </c>
      <c r="I4103" s="1">
        <v>65.44</v>
      </c>
      <c r="J4103" s="1">
        <v>62.92</v>
      </c>
      <c r="K4103" t="s">
        <v>6</v>
      </c>
    </row>
    <row r="4104" spans="1:11">
      <c r="A4104" t="s">
        <v>4165</v>
      </c>
      <c r="B4104">
        <v>389627</v>
      </c>
      <c r="C4104" s="2" t="str">
        <f>"F2500000124"</f>
        <v>F2500000124</v>
      </c>
      <c r="D4104" t="s">
        <v>4214</v>
      </c>
      <c r="E4104" t="s">
        <v>4</v>
      </c>
      <c r="F4104">
        <v>31.45</v>
      </c>
      <c r="H4104" t="s">
        <v>5</v>
      </c>
      <c r="I4104" s="1">
        <v>139.72999999999999</v>
      </c>
      <c r="J4104" s="1">
        <v>134.36000000000001</v>
      </c>
      <c r="K4104" t="s">
        <v>6</v>
      </c>
    </row>
    <row r="4105" spans="1:11">
      <c r="A4105" t="s">
        <v>4165</v>
      </c>
      <c r="B4105">
        <v>555986</v>
      </c>
      <c r="C4105" s="2" t="str">
        <f>"F2500000700"</f>
        <v>F2500000700</v>
      </c>
      <c r="D4105" t="s">
        <v>4215</v>
      </c>
      <c r="E4105" t="s">
        <v>4</v>
      </c>
      <c r="F4105">
        <v>21.56</v>
      </c>
      <c r="H4105" t="s">
        <v>5</v>
      </c>
      <c r="I4105" s="1">
        <v>182.93</v>
      </c>
      <c r="J4105" s="1">
        <v>175.89</v>
      </c>
      <c r="K4105" t="s">
        <v>6</v>
      </c>
    </row>
    <row r="4106" spans="1:11">
      <c r="A4106" t="s">
        <v>4165</v>
      </c>
      <c r="B4106">
        <v>378410</v>
      </c>
      <c r="C4106" s="2" t="str">
        <f>"F2500000711"</f>
        <v>F2500000711</v>
      </c>
      <c r="D4106" t="s">
        <v>4216</v>
      </c>
      <c r="E4106" t="s">
        <v>4</v>
      </c>
      <c r="F4106">
        <v>14.25</v>
      </c>
      <c r="H4106" t="s">
        <v>5</v>
      </c>
      <c r="I4106" s="1">
        <v>107.69</v>
      </c>
      <c r="J4106" s="1">
        <v>103.55</v>
      </c>
      <c r="K4106" t="s">
        <v>6</v>
      </c>
    </row>
    <row r="4107" spans="1:11">
      <c r="A4107" t="s">
        <v>4165</v>
      </c>
      <c r="B4107">
        <v>372545</v>
      </c>
      <c r="C4107" s="2" t="str">
        <f>"F2500000720"</f>
        <v>F2500000720</v>
      </c>
      <c r="D4107" t="s">
        <v>4217</v>
      </c>
      <c r="E4107" t="s">
        <v>4</v>
      </c>
      <c r="F4107">
        <v>27.65</v>
      </c>
      <c r="H4107" t="s">
        <v>5</v>
      </c>
      <c r="I4107" s="1">
        <v>197.12</v>
      </c>
      <c r="J4107" s="1">
        <v>189.54</v>
      </c>
      <c r="K4107" t="s">
        <v>6</v>
      </c>
    </row>
    <row r="4108" spans="1:11">
      <c r="A4108" t="s">
        <v>4165</v>
      </c>
      <c r="B4108">
        <v>370741</v>
      </c>
      <c r="C4108" s="2" t="str">
        <f>"F2520000111"</f>
        <v>F2520000111</v>
      </c>
      <c r="D4108" t="s">
        <v>4218</v>
      </c>
      <c r="E4108" t="s">
        <v>4</v>
      </c>
      <c r="F4108">
        <v>16.3</v>
      </c>
      <c r="H4108" t="s">
        <v>5</v>
      </c>
      <c r="I4108" s="1">
        <v>125.13</v>
      </c>
      <c r="J4108" s="1">
        <v>120.32</v>
      </c>
      <c r="K4108" t="s">
        <v>6</v>
      </c>
    </row>
    <row r="4109" spans="1:11">
      <c r="A4109" t="s">
        <v>4165</v>
      </c>
      <c r="B4109">
        <v>388091</v>
      </c>
      <c r="C4109" s="2" t="str">
        <f>"F2520000119"</f>
        <v>F2520000119</v>
      </c>
      <c r="D4109" t="s">
        <v>4219</v>
      </c>
      <c r="E4109" t="s">
        <v>4</v>
      </c>
      <c r="F4109">
        <v>21.65</v>
      </c>
      <c r="H4109" t="s">
        <v>5</v>
      </c>
      <c r="I4109" s="1">
        <v>131.41</v>
      </c>
      <c r="J4109" s="1">
        <v>126.36</v>
      </c>
      <c r="K4109" t="s">
        <v>6</v>
      </c>
    </row>
    <row r="4110" spans="1:11">
      <c r="A4110" t="s">
        <v>4165</v>
      </c>
      <c r="B4110">
        <v>369521</v>
      </c>
      <c r="C4110" s="2" t="str">
        <f>"F2520000125"</f>
        <v>F2520000125</v>
      </c>
      <c r="D4110" t="s">
        <v>4220</v>
      </c>
      <c r="E4110" t="s">
        <v>4</v>
      </c>
      <c r="F4110">
        <v>28.25</v>
      </c>
      <c r="H4110" t="s">
        <v>5</v>
      </c>
      <c r="I4110" s="1">
        <v>152.30000000000001</v>
      </c>
      <c r="J4110" s="1">
        <v>146.44999999999999</v>
      </c>
      <c r="K4110" t="s">
        <v>6</v>
      </c>
    </row>
    <row r="4111" spans="1:11">
      <c r="A4111" t="s">
        <v>4165</v>
      </c>
      <c r="B4111">
        <v>369606</v>
      </c>
      <c r="C4111" s="2" t="str">
        <f>"F2520000710"</f>
        <v>F2520000710</v>
      </c>
      <c r="D4111" t="s">
        <v>4221</v>
      </c>
      <c r="E4111" t="s">
        <v>4</v>
      </c>
      <c r="F4111">
        <v>15.45</v>
      </c>
      <c r="H4111" t="s">
        <v>5</v>
      </c>
      <c r="I4111" s="1">
        <v>107.69</v>
      </c>
      <c r="J4111" s="1">
        <v>103.55</v>
      </c>
      <c r="K4111" t="s">
        <v>6</v>
      </c>
    </row>
    <row r="4112" spans="1:11">
      <c r="A4112" t="s">
        <v>4165</v>
      </c>
      <c r="B4112">
        <v>482941</v>
      </c>
      <c r="C4112" s="2" t="str">
        <f>"F5000000117S"</f>
        <v>F5000000117S</v>
      </c>
      <c r="D4112" t="s">
        <v>4222</v>
      </c>
      <c r="E4112" t="s">
        <v>4</v>
      </c>
      <c r="F4112">
        <v>30.6</v>
      </c>
      <c r="H4112" t="s">
        <v>5</v>
      </c>
      <c r="I4112" s="1">
        <v>152.51</v>
      </c>
      <c r="J4112" s="1">
        <v>146.63999999999999</v>
      </c>
      <c r="K4112" t="s">
        <v>6</v>
      </c>
    </row>
    <row r="4113" spans="1:12">
      <c r="A4113" t="s">
        <v>4165</v>
      </c>
      <c r="B4113">
        <v>480167</v>
      </c>
      <c r="C4113" s="2" t="str">
        <f>"F5000000149S"</f>
        <v>F5000000149S</v>
      </c>
      <c r="D4113" t="s">
        <v>4223</v>
      </c>
      <c r="E4113" t="s">
        <v>4</v>
      </c>
      <c r="F4113">
        <v>37.75</v>
      </c>
      <c r="H4113" t="s">
        <v>5</v>
      </c>
      <c r="I4113" s="1">
        <v>126.95</v>
      </c>
      <c r="J4113" s="1">
        <v>122.07</v>
      </c>
      <c r="K4113" t="s">
        <v>6</v>
      </c>
    </row>
    <row r="4114" spans="1:12">
      <c r="A4114" t="s">
        <v>4165</v>
      </c>
      <c r="B4114">
        <v>378402</v>
      </c>
      <c r="C4114" s="2" t="str">
        <f>"R4238026125"</f>
        <v>R4238026125</v>
      </c>
      <c r="D4114" t="s">
        <v>4224</v>
      </c>
      <c r="E4114" t="s">
        <v>4</v>
      </c>
      <c r="F4114">
        <v>31.97</v>
      </c>
      <c r="H4114" t="s">
        <v>5</v>
      </c>
      <c r="I4114" s="1">
        <v>77.27</v>
      </c>
      <c r="J4114" s="1">
        <v>74.3</v>
      </c>
      <c r="K4114" t="s">
        <v>6</v>
      </c>
    </row>
    <row r="4115" spans="1:12">
      <c r="A4115" t="s">
        <v>4225</v>
      </c>
      <c r="B4115">
        <v>389357</v>
      </c>
      <c r="C4115" s="2" t="str">
        <f>"B070FPLF"</f>
        <v>B070FPLF</v>
      </c>
      <c r="D4115" t="s">
        <v>4226</v>
      </c>
      <c r="E4115" t="s">
        <v>4</v>
      </c>
      <c r="F4115">
        <v>38.4</v>
      </c>
      <c r="G4115">
        <v>3.2</v>
      </c>
      <c r="H4115" t="s">
        <v>106</v>
      </c>
      <c r="I4115" s="1">
        <v>32.42</v>
      </c>
      <c r="J4115" s="1">
        <v>31.74</v>
      </c>
      <c r="K4115" t="s">
        <v>4227</v>
      </c>
      <c r="L4115" s="1">
        <v>34.909999999999997</v>
      </c>
    </row>
    <row r="4116" spans="1:12">
      <c r="A4116" t="s">
        <v>4225</v>
      </c>
      <c r="B4116">
        <v>389358</v>
      </c>
      <c r="C4116" s="2" t="str">
        <f>"B070KPVF"</f>
        <v>B070KPVF</v>
      </c>
      <c r="D4116" t="s">
        <v>4228</v>
      </c>
      <c r="E4116" t="s">
        <v>4</v>
      </c>
      <c r="F4116">
        <v>31.02</v>
      </c>
      <c r="G4116">
        <v>5.17</v>
      </c>
      <c r="H4116" t="s">
        <v>20</v>
      </c>
      <c r="I4116" s="1">
        <v>62.43</v>
      </c>
      <c r="J4116" s="1">
        <v>61.12</v>
      </c>
      <c r="K4116" t="s">
        <v>4227</v>
      </c>
      <c r="L4116" s="1">
        <v>67.23</v>
      </c>
    </row>
    <row r="4117" spans="1:12">
      <c r="A4117" t="s">
        <v>4225</v>
      </c>
      <c r="B4117">
        <v>389367</v>
      </c>
      <c r="C4117" s="2" t="str">
        <f>"B070SBLF"</f>
        <v>B070SBLF</v>
      </c>
      <c r="D4117" t="s">
        <v>4229</v>
      </c>
      <c r="E4117" t="s">
        <v>4</v>
      </c>
      <c r="F4117">
        <v>30.48</v>
      </c>
      <c r="G4117">
        <v>2.54</v>
      </c>
      <c r="H4117" t="s">
        <v>106</v>
      </c>
      <c r="I4117" s="1">
        <v>32.42</v>
      </c>
      <c r="J4117" s="1">
        <v>31.74</v>
      </c>
      <c r="K4117" t="s">
        <v>4227</v>
      </c>
      <c r="L4117" s="1">
        <v>34.909999999999997</v>
      </c>
    </row>
    <row r="4118" spans="1:12">
      <c r="A4118" t="s">
        <v>4225</v>
      </c>
      <c r="B4118">
        <v>389369</v>
      </c>
      <c r="C4118" s="2" t="str">
        <f>"B070SPLF"</f>
        <v>B070SPLF</v>
      </c>
      <c r="D4118" t="s">
        <v>4230</v>
      </c>
      <c r="E4118" t="s">
        <v>4</v>
      </c>
      <c r="F4118">
        <v>32.04</v>
      </c>
      <c r="G4118">
        <v>2.67</v>
      </c>
      <c r="H4118" t="s">
        <v>106</v>
      </c>
      <c r="I4118" s="1">
        <v>32.42</v>
      </c>
      <c r="J4118" s="1">
        <v>31.74</v>
      </c>
      <c r="K4118" t="s">
        <v>4227</v>
      </c>
      <c r="L4118" s="1">
        <v>34.909999999999997</v>
      </c>
    </row>
    <row r="4119" spans="1:12">
      <c r="A4119" t="s">
        <v>4225</v>
      </c>
      <c r="B4119">
        <v>389370</v>
      </c>
      <c r="C4119" s="2" t="str">
        <f>"B070STSF"</f>
        <v>B070STSF</v>
      </c>
      <c r="D4119" t="s">
        <v>4231</v>
      </c>
      <c r="E4119" t="s">
        <v>4</v>
      </c>
      <c r="F4119">
        <v>25.92</v>
      </c>
      <c r="G4119">
        <v>2.16</v>
      </c>
      <c r="H4119" t="s">
        <v>106</v>
      </c>
      <c r="I4119" s="1">
        <v>24.82</v>
      </c>
      <c r="J4119" s="1">
        <v>24.3</v>
      </c>
      <c r="K4119" t="s">
        <v>4227</v>
      </c>
      <c r="L4119" s="1">
        <v>26.73</v>
      </c>
    </row>
    <row r="4120" spans="1:12">
      <c r="A4120" t="s">
        <v>4225</v>
      </c>
      <c r="B4120">
        <v>381375</v>
      </c>
      <c r="C4120" s="2" t="str">
        <f>"B072FPLF"</f>
        <v>B072FPLF</v>
      </c>
      <c r="D4120" t="s">
        <v>4232</v>
      </c>
      <c r="E4120" t="s">
        <v>4</v>
      </c>
      <c r="F4120">
        <v>48.6</v>
      </c>
      <c r="G4120">
        <v>2.7</v>
      </c>
      <c r="H4120" t="s">
        <v>4041</v>
      </c>
      <c r="I4120" s="1">
        <v>14.45</v>
      </c>
      <c r="J4120" s="1">
        <v>14.15</v>
      </c>
      <c r="K4120" t="s">
        <v>4227</v>
      </c>
      <c r="L4120" s="1">
        <v>15.56</v>
      </c>
    </row>
    <row r="4121" spans="1:12">
      <c r="A4121" t="s">
        <v>4225</v>
      </c>
      <c r="B4121">
        <v>394605</v>
      </c>
      <c r="C4121" s="2" t="str">
        <f>"B072FSLF"</f>
        <v>B072FSLF</v>
      </c>
      <c r="D4121" t="s">
        <v>4233</v>
      </c>
      <c r="E4121" t="s">
        <v>4</v>
      </c>
      <c r="F4121">
        <v>32.04</v>
      </c>
      <c r="G4121">
        <v>1.78</v>
      </c>
      <c r="H4121" t="s">
        <v>4041</v>
      </c>
      <c r="I4121" s="1">
        <v>14.45</v>
      </c>
      <c r="J4121" s="1">
        <v>14.15</v>
      </c>
      <c r="K4121" t="s">
        <v>4227</v>
      </c>
      <c r="L4121" s="1">
        <v>15.56</v>
      </c>
    </row>
    <row r="4122" spans="1:12">
      <c r="A4122" t="s">
        <v>4225</v>
      </c>
      <c r="B4122">
        <v>381379</v>
      </c>
      <c r="C4122" s="2" t="str">
        <f>"B072KPVF"</f>
        <v>B072KPVF</v>
      </c>
      <c r="D4122" t="s">
        <v>4234</v>
      </c>
      <c r="E4122" t="s">
        <v>4</v>
      </c>
      <c r="F4122">
        <v>37.44</v>
      </c>
      <c r="G4122">
        <v>4.68</v>
      </c>
      <c r="H4122" t="s">
        <v>1456</v>
      </c>
      <c r="I4122" s="1">
        <v>49.83</v>
      </c>
      <c r="J4122" s="1">
        <v>48.78</v>
      </c>
      <c r="K4122" t="s">
        <v>4227</v>
      </c>
      <c r="L4122" s="1">
        <v>53.66</v>
      </c>
    </row>
    <row r="4123" spans="1:12">
      <c r="A4123" t="s">
        <v>4225</v>
      </c>
      <c r="B4123">
        <v>463747</v>
      </c>
      <c r="C4123" s="2" t="str">
        <f>"B072SADF"</f>
        <v>B072SADF</v>
      </c>
      <c r="D4123" t="s">
        <v>4235</v>
      </c>
      <c r="E4123" t="s">
        <v>4</v>
      </c>
      <c r="F4123">
        <v>37.799999999999997</v>
      </c>
      <c r="G4123">
        <v>2.1</v>
      </c>
      <c r="H4123" t="s">
        <v>4041</v>
      </c>
      <c r="I4123" s="1">
        <v>14.45</v>
      </c>
      <c r="J4123" s="1">
        <v>14.15</v>
      </c>
      <c r="K4123" t="s">
        <v>4227</v>
      </c>
      <c r="L4123" s="1">
        <v>15.56</v>
      </c>
    </row>
    <row r="4124" spans="1:12">
      <c r="A4124" t="s">
        <v>4225</v>
      </c>
      <c r="B4124">
        <v>458249</v>
      </c>
      <c r="C4124" s="2" t="str">
        <f>"B072SBLF"</f>
        <v>B072SBLF</v>
      </c>
      <c r="D4124" t="s">
        <v>4236</v>
      </c>
      <c r="E4124" t="s">
        <v>4</v>
      </c>
      <c r="F4124">
        <v>2.08</v>
      </c>
      <c r="H4124" t="s">
        <v>5</v>
      </c>
      <c r="I4124" s="1">
        <v>14.45</v>
      </c>
      <c r="J4124" s="1">
        <v>14.15</v>
      </c>
      <c r="K4124" t="s">
        <v>6</v>
      </c>
    </row>
    <row r="4125" spans="1:12">
      <c r="A4125" t="s">
        <v>4225</v>
      </c>
      <c r="B4125">
        <v>381383</v>
      </c>
      <c r="C4125" s="2" t="str">
        <f>"B072SITF"</f>
        <v>B072SITF</v>
      </c>
      <c r="D4125" t="s">
        <v>4237</v>
      </c>
      <c r="E4125" t="s">
        <v>4</v>
      </c>
      <c r="F4125">
        <v>36.72</v>
      </c>
      <c r="G4125">
        <v>2.04</v>
      </c>
      <c r="H4125" t="s">
        <v>4041</v>
      </c>
      <c r="I4125" s="1">
        <v>14.45</v>
      </c>
      <c r="J4125" s="1">
        <v>14.15</v>
      </c>
      <c r="K4125" t="s">
        <v>4227</v>
      </c>
      <c r="L4125" s="1">
        <v>15.56</v>
      </c>
    </row>
    <row r="4126" spans="1:12">
      <c r="A4126" t="s">
        <v>4225</v>
      </c>
      <c r="B4126">
        <v>463749</v>
      </c>
      <c r="C4126" s="2" t="str">
        <f>"B072SPLF"</f>
        <v>B072SPLF</v>
      </c>
      <c r="D4126" t="s">
        <v>4238</v>
      </c>
      <c r="E4126" t="s">
        <v>4</v>
      </c>
      <c r="F4126">
        <v>38.880000000000003</v>
      </c>
      <c r="G4126">
        <v>2.16</v>
      </c>
      <c r="H4126" t="s">
        <v>4041</v>
      </c>
      <c r="I4126" s="1">
        <v>14.45</v>
      </c>
      <c r="J4126" s="1">
        <v>14.15</v>
      </c>
      <c r="K4126" t="s">
        <v>4227</v>
      </c>
      <c r="L4126" s="1">
        <v>15.56</v>
      </c>
    </row>
    <row r="4127" spans="1:12">
      <c r="A4127" t="s">
        <v>4225</v>
      </c>
      <c r="B4127">
        <v>381382</v>
      </c>
      <c r="C4127" s="2" t="str">
        <f>"B072STSF"</f>
        <v>B072STSF</v>
      </c>
      <c r="D4127" t="s">
        <v>4239</v>
      </c>
      <c r="E4127" t="s">
        <v>4</v>
      </c>
      <c r="F4127">
        <v>37.799999999999997</v>
      </c>
      <c r="G4127">
        <v>2.1</v>
      </c>
      <c r="H4127" t="s">
        <v>4041</v>
      </c>
      <c r="I4127" s="1">
        <v>19.27</v>
      </c>
      <c r="J4127" s="1">
        <v>18.86</v>
      </c>
      <c r="K4127" t="s">
        <v>4227</v>
      </c>
      <c r="L4127" s="1">
        <v>20.75</v>
      </c>
    </row>
    <row r="4128" spans="1:12">
      <c r="A4128" t="s">
        <v>4225</v>
      </c>
      <c r="B4128">
        <v>420379</v>
      </c>
      <c r="C4128" s="2" t="str">
        <f>"B080FPLF"</f>
        <v>B080FPLF</v>
      </c>
      <c r="D4128" t="s">
        <v>4240</v>
      </c>
      <c r="E4128" t="s">
        <v>4</v>
      </c>
      <c r="F4128">
        <v>3.22</v>
      </c>
      <c r="H4128" t="s">
        <v>5</v>
      </c>
      <c r="I4128" s="1">
        <v>67.53</v>
      </c>
      <c r="J4128" s="1">
        <v>64.94</v>
      </c>
      <c r="K4128" t="s">
        <v>6</v>
      </c>
    </row>
    <row r="4129" spans="1:11">
      <c r="A4129" t="s">
        <v>4225</v>
      </c>
      <c r="B4129">
        <v>420381</v>
      </c>
      <c r="C4129" s="2" t="str">
        <f>"B080KPVF"</f>
        <v>B080KPVF</v>
      </c>
      <c r="D4129" t="s">
        <v>4241</v>
      </c>
      <c r="E4129" t="s">
        <v>4</v>
      </c>
      <c r="F4129">
        <v>6.28</v>
      </c>
      <c r="H4129" t="s">
        <v>5</v>
      </c>
      <c r="I4129" s="1">
        <v>113.77</v>
      </c>
      <c r="J4129" s="1">
        <v>109.4</v>
      </c>
      <c r="K4129" t="s">
        <v>6</v>
      </c>
    </row>
    <row r="4130" spans="1:11">
      <c r="A4130" t="s">
        <v>4225</v>
      </c>
      <c r="B4130">
        <v>420386</v>
      </c>
      <c r="C4130" s="2" t="str">
        <f>"B080STSF"</f>
        <v>B080STSF</v>
      </c>
      <c r="D4130" t="s">
        <v>4242</v>
      </c>
      <c r="E4130" t="s">
        <v>4</v>
      </c>
      <c r="F4130">
        <v>2.61</v>
      </c>
      <c r="H4130" t="s">
        <v>5</v>
      </c>
      <c r="I4130" s="1">
        <v>47.25</v>
      </c>
      <c r="J4130" s="1">
        <v>45.44</v>
      </c>
      <c r="K4130" t="s">
        <v>6</v>
      </c>
    </row>
    <row r="4131" spans="1:11">
      <c r="A4131" t="s">
        <v>4225</v>
      </c>
      <c r="B4131">
        <v>415320</v>
      </c>
      <c r="C4131" s="2" t="str">
        <f>"B120FDNF"</f>
        <v>B120FDNF</v>
      </c>
      <c r="D4131" t="s">
        <v>4243</v>
      </c>
      <c r="E4131" t="s">
        <v>4</v>
      </c>
      <c r="F4131">
        <v>3.43</v>
      </c>
      <c r="H4131" t="s">
        <v>5</v>
      </c>
      <c r="I4131" s="1">
        <v>83.76</v>
      </c>
      <c r="J4131" s="1">
        <v>80.540000000000006</v>
      </c>
      <c r="K4131" t="s">
        <v>6</v>
      </c>
    </row>
    <row r="4132" spans="1:11">
      <c r="A4132" t="s">
        <v>4225</v>
      </c>
      <c r="B4132">
        <v>415319</v>
      </c>
      <c r="C4132" s="2" t="str">
        <f>"B120KPTF"</f>
        <v>B120KPTF</v>
      </c>
      <c r="D4132" t="s">
        <v>4244</v>
      </c>
      <c r="E4132" t="s">
        <v>4</v>
      </c>
      <c r="F4132">
        <v>6.75</v>
      </c>
      <c r="H4132" t="s">
        <v>5</v>
      </c>
      <c r="I4132" s="1">
        <v>152.91</v>
      </c>
      <c r="J4132" s="1">
        <v>147.03</v>
      </c>
      <c r="K4132" t="s">
        <v>6</v>
      </c>
    </row>
    <row r="4133" spans="1:11">
      <c r="A4133" t="s">
        <v>4225</v>
      </c>
      <c r="B4133">
        <v>415321</v>
      </c>
      <c r="C4133" s="2" t="str">
        <f>"B120STSF"</f>
        <v>B120STSF</v>
      </c>
      <c r="D4133" t="s">
        <v>4245</v>
      </c>
      <c r="E4133" t="s">
        <v>4</v>
      </c>
      <c r="F4133">
        <v>2.4</v>
      </c>
      <c r="H4133" t="s">
        <v>5</v>
      </c>
      <c r="I4133" s="1">
        <v>53.54</v>
      </c>
      <c r="J4133" s="1">
        <v>51.48</v>
      </c>
      <c r="K4133" t="s">
        <v>6</v>
      </c>
    </row>
    <row r="4134" spans="1:11">
      <c r="A4134" t="s">
        <v>4225</v>
      </c>
      <c r="B4134">
        <v>424852</v>
      </c>
      <c r="C4134" s="2" t="str">
        <f>"B167FDEF"</f>
        <v>B167FDEF</v>
      </c>
      <c r="D4134" t="s">
        <v>4246</v>
      </c>
      <c r="E4134" t="s">
        <v>4</v>
      </c>
      <c r="F4134">
        <v>4.05</v>
      </c>
      <c r="H4134" t="s">
        <v>5</v>
      </c>
      <c r="I4134" s="1">
        <v>72.2</v>
      </c>
      <c r="J4134" s="1">
        <v>69.42</v>
      </c>
      <c r="K4134" t="s">
        <v>6</v>
      </c>
    </row>
    <row r="4135" spans="1:11">
      <c r="A4135" t="s">
        <v>4225</v>
      </c>
      <c r="B4135">
        <v>424853</v>
      </c>
      <c r="C4135" s="2" t="str">
        <f>"B167FDNF"</f>
        <v>B167FDNF</v>
      </c>
      <c r="D4135" t="s">
        <v>4247</v>
      </c>
      <c r="E4135" t="s">
        <v>4</v>
      </c>
      <c r="F4135">
        <v>5.46</v>
      </c>
      <c r="H4135" t="s">
        <v>5</v>
      </c>
      <c r="I4135" s="1">
        <v>85.99</v>
      </c>
      <c r="J4135" s="1">
        <v>82.68</v>
      </c>
      <c r="K4135" t="s">
        <v>6</v>
      </c>
    </row>
    <row r="4136" spans="1:11">
      <c r="A4136" t="s">
        <v>4225</v>
      </c>
      <c r="B4136">
        <v>424855</v>
      </c>
      <c r="C4136" s="2" t="str">
        <f>"B167KPTF"</f>
        <v>B167KPTF</v>
      </c>
      <c r="D4136" t="s">
        <v>4248</v>
      </c>
      <c r="E4136" t="s">
        <v>4</v>
      </c>
      <c r="F4136">
        <v>7.9</v>
      </c>
      <c r="H4136" t="s">
        <v>5</v>
      </c>
      <c r="I4136" s="1">
        <v>96.33</v>
      </c>
      <c r="J4136" s="1">
        <v>92.63</v>
      </c>
      <c r="K4136" t="s">
        <v>6</v>
      </c>
    </row>
    <row r="4137" spans="1:11">
      <c r="A4137" t="s">
        <v>4225</v>
      </c>
      <c r="B4137">
        <v>423213</v>
      </c>
      <c r="C4137" s="2" t="str">
        <f>"B167SRBF"</f>
        <v>B167SRBF</v>
      </c>
      <c r="D4137" t="s">
        <v>4236</v>
      </c>
      <c r="E4137" t="s">
        <v>4</v>
      </c>
      <c r="F4137">
        <v>27</v>
      </c>
      <c r="H4137" t="s">
        <v>5</v>
      </c>
      <c r="I4137" s="1">
        <v>61.45</v>
      </c>
      <c r="J4137" s="1">
        <v>59.09</v>
      </c>
      <c r="K4137" t="s">
        <v>6</v>
      </c>
    </row>
    <row r="4138" spans="1:11">
      <c r="A4138" t="s">
        <v>4225</v>
      </c>
      <c r="B4138">
        <v>424857</v>
      </c>
      <c r="C4138" s="2" t="str">
        <f>"B167STSF"</f>
        <v>B167STSF</v>
      </c>
      <c r="D4138" t="s">
        <v>4249</v>
      </c>
      <c r="E4138" t="s">
        <v>4</v>
      </c>
      <c r="F4138">
        <v>3.83</v>
      </c>
      <c r="H4138" t="s">
        <v>5</v>
      </c>
      <c r="I4138" s="1">
        <v>57.8</v>
      </c>
      <c r="J4138" s="1">
        <v>55.58</v>
      </c>
      <c r="K4138" t="s">
        <v>6</v>
      </c>
    </row>
    <row r="4139" spans="1:11">
      <c r="A4139" t="s">
        <v>4225</v>
      </c>
      <c r="B4139">
        <v>423209</v>
      </c>
      <c r="C4139" s="2" t="str">
        <f>"B169FDEF"</f>
        <v>B169FDEF</v>
      </c>
      <c r="D4139" t="s">
        <v>4250</v>
      </c>
      <c r="E4139" t="s">
        <v>4</v>
      </c>
      <c r="F4139">
        <v>2.7</v>
      </c>
      <c r="H4139" t="s">
        <v>5</v>
      </c>
      <c r="I4139" s="1">
        <v>76.66</v>
      </c>
      <c r="J4139" s="1">
        <v>73.709999999999994</v>
      </c>
      <c r="K4139" t="s">
        <v>6</v>
      </c>
    </row>
    <row r="4140" spans="1:11">
      <c r="A4140" t="s">
        <v>4225</v>
      </c>
      <c r="B4140">
        <v>415356</v>
      </c>
      <c r="C4140" s="2" t="str">
        <f>"B169FDIF"</f>
        <v>B169FDIF</v>
      </c>
      <c r="D4140" t="s">
        <v>4251</v>
      </c>
      <c r="E4140" t="s">
        <v>4</v>
      </c>
      <c r="F4140">
        <v>4.5999999999999996</v>
      </c>
      <c r="H4140" t="s">
        <v>5</v>
      </c>
      <c r="I4140" s="1">
        <v>83.76</v>
      </c>
      <c r="J4140" s="1">
        <v>80.540000000000006</v>
      </c>
      <c r="K4140" t="s">
        <v>6</v>
      </c>
    </row>
    <row r="4141" spans="1:11">
      <c r="A4141" t="s">
        <v>4225</v>
      </c>
      <c r="B4141">
        <v>424858</v>
      </c>
      <c r="C4141" s="2" t="str">
        <f>"B169KPTF"</f>
        <v>B169KPTF</v>
      </c>
      <c r="D4141" t="s">
        <v>4252</v>
      </c>
      <c r="E4141" t="s">
        <v>4</v>
      </c>
      <c r="F4141">
        <v>7.5</v>
      </c>
      <c r="H4141" t="s">
        <v>5</v>
      </c>
      <c r="I4141" s="1">
        <v>152.91</v>
      </c>
      <c r="J4141" s="1">
        <v>147.03</v>
      </c>
      <c r="K4141" t="s">
        <v>6</v>
      </c>
    </row>
    <row r="4142" spans="1:11">
      <c r="A4142" t="s">
        <v>4225</v>
      </c>
      <c r="B4142">
        <v>423210</v>
      </c>
      <c r="C4142" s="2" t="str">
        <f>"B169SDEF"</f>
        <v>B169SDEF</v>
      </c>
      <c r="D4142" t="s">
        <v>4253</v>
      </c>
      <c r="E4142" t="s">
        <v>4</v>
      </c>
      <c r="F4142">
        <v>3.81</v>
      </c>
      <c r="H4142" t="s">
        <v>5</v>
      </c>
      <c r="I4142" s="1">
        <v>76.66</v>
      </c>
      <c r="J4142" s="1">
        <v>73.709999999999994</v>
      </c>
      <c r="K4142" t="s">
        <v>6</v>
      </c>
    </row>
    <row r="4143" spans="1:11">
      <c r="A4143" t="s">
        <v>4225</v>
      </c>
      <c r="B4143">
        <v>424865</v>
      </c>
      <c r="C4143" s="2" t="str">
        <f>"B169SRBF"</f>
        <v>B169SRBF</v>
      </c>
      <c r="D4143" t="s">
        <v>4254</v>
      </c>
      <c r="E4143" t="s">
        <v>4</v>
      </c>
      <c r="F4143">
        <v>3.83</v>
      </c>
      <c r="H4143" t="s">
        <v>5</v>
      </c>
      <c r="I4143" s="1">
        <v>76.66</v>
      </c>
      <c r="J4143" s="1">
        <v>73.709999999999994</v>
      </c>
      <c r="K4143" t="s">
        <v>6</v>
      </c>
    </row>
    <row r="4144" spans="1:11">
      <c r="A4144" t="s">
        <v>4225</v>
      </c>
      <c r="B4144">
        <v>424866</v>
      </c>
      <c r="C4144" s="2" t="str">
        <f>"B169STSF"</f>
        <v>B169STSF</v>
      </c>
      <c r="D4144" t="s">
        <v>4255</v>
      </c>
      <c r="E4144" t="s">
        <v>4</v>
      </c>
      <c r="F4144">
        <v>2.67</v>
      </c>
      <c r="H4144" t="s">
        <v>5</v>
      </c>
      <c r="I4144" s="1">
        <v>53.54</v>
      </c>
      <c r="J4144" s="1">
        <v>51.48</v>
      </c>
      <c r="K4144" t="s">
        <v>6</v>
      </c>
    </row>
    <row r="4145" spans="1:12">
      <c r="A4145" t="s">
        <v>4225</v>
      </c>
      <c r="B4145">
        <v>427635</v>
      </c>
      <c r="C4145" s="2" t="str">
        <f>"B196FPLF"</f>
        <v>B196FPLF</v>
      </c>
      <c r="D4145" t="s">
        <v>4256</v>
      </c>
      <c r="E4145" t="s">
        <v>4</v>
      </c>
      <c r="F4145">
        <v>33.36</v>
      </c>
      <c r="G4145">
        <v>2.78</v>
      </c>
      <c r="H4145" t="s">
        <v>106</v>
      </c>
      <c r="I4145" s="1">
        <v>41.78</v>
      </c>
      <c r="J4145" s="1">
        <v>40.17</v>
      </c>
      <c r="K4145" t="s">
        <v>4227</v>
      </c>
      <c r="L4145" s="1">
        <v>44.19</v>
      </c>
    </row>
    <row r="4146" spans="1:12">
      <c r="A4146" t="s">
        <v>4225</v>
      </c>
      <c r="B4146">
        <v>427873</v>
      </c>
      <c r="C4146" s="2" t="str">
        <f>"B196KPVF"</f>
        <v>B196KPVF</v>
      </c>
      <c r="D4146" t="s">
        <v>4257</v>
      </c>
      <c r="E4146" t="s">
        <v>4</v>
      </c>
      <c r="F4146">
        <v>29.1</v>
      </c>
      <c r="G4146">
        <v>4.8499999999999996</v>
      </c>
      <c r="H4146" t="s">
        <v>20</v>
      </c>
      <c r="I4146" s="1">
        <v>54.96</v>
      </c>
      <c r="J4146" s="1">
        <v>52.85</v>
      </c>
      <c r="K4146" t="s">
        <v>4227</v>
      </c>
      <c r="L4146" s="1">
        <v>58.13</v>
      </c>
    </row>
    <row r="4147" spans="1:12">
      <c r="A4147" t="s">
        <v>4225</v>
      </c>
      <c r="B4147">
        <v>432488</v>
      </c>
      <c r="C4147" s="2" t="str">
        <f>"B196SBLF"</f>
        <v>B196SBLF</v>
      </c>
      <c r="D4147" t="s">
        <v>4258</v>
      </c>
      <c r="E4147" t="s">
        <v>4</v>
      </c>
      <c r="F4147">
        <v>25.92</v>
      </c>
      <c r="G4147">
        <v>2.16</v>
      </c>
      <c r="H4147" t="s">
        <v>106</v>
      </c>
      <c r="I4147" s="1">
        <v>32.65</v>
      </c>
      <c r="J4147" s="1">
        <v>31.4</v>
      </c>
      <c r="K4147" t="s">
        <v>4227</v>
      </c>
      <c r="L4147" s="1">
        <v>34.53</v>
      </c>
    </row>
    <row r="4148" spans="1:12">
      <c r="A4148" t="s">
        <v>4225</v>
      </c>
      <c r="B4148">
        <v>427880</v>
      </c>
      <c r="C4148" s="2" t="str">
        <f>"B196STSF"</f>
        <v>B196STSF</v>
      </c>
      <c r="D4148" t="s">
        <v>4259</v>
      </c>
      <c r="E4148" t="s">
        <v>4</v>
      </c>
      <c r="F4148">
        <v>26.76</v>
      </c>
      <c r="G4148">
        <v>2.23</v>
      </c>
      <c r="H4148" t="s">
        <v>106</v>
      </c>
      <c r="I4148" s="1">
        <v>24.74</v>
      </c>
      <c r="J4148" s="1">
        <v>23.79</v>
      </c>
      <c r="K4148" t="s">
        <v>4227</v>
      </c>
      <c r="L4148" s="1">
        <v>26.17</v>
      </c>
    </row>
    <row r="4149" spans="1:12">
      <c r="A4149" t="s">
        <v>4225</v>
      </c>
      <c r="B4149">
        <v>427882</v>
      </c>
      <c r="C4149" s="2" t="str">
        <f>"B230FSLF"</f>
        <v>B230FSLF</v>
      </c>
      <c r="D4149" t="s">
        <v>4260</v>
      </c>
      <c r="E4149" t="s">
        <v>4</v>
      </c>
      <c r="F4149">
        <v>19.920000000000002</v>
      </c>
      <c r="G4149">
        <v>1.66</v>
      </c>
      <c r="H4149" t="s">
        <v>106</v>
      </c>
      <c r="I4149" s="1">
        <v>25.94</v>
      </c>
      <c r="J4149" s="1">
        <v>25.39</v>
      </c>
      <c r="K4149" t="s">
        <v>4227</v>
      </c>
      <c r="L4149" s="1">
        <v>27.93</v>
      </c>
    </row>
    <row r="4150" spans="1:12">
      <c r="A4150" t="s">
        <v>4225</v>
      </c>
      <c r="B4150">
        <v>389398</v>
      </c>
      <c r="C4150" s="2" t="str">
        <f>"B230SBLF"</f>
        <v>B230SBLF</v>
      </c>
      <c r="D4150" t="s">
        <v>4261</v>
      </c>
      <c r="E4150" t="s">
        <v>4</v>
      </c>
      <c r="F4150">
        <v>29.04</v>
      </c>
      <c r="G4150">
        <v>2.42</v>
      </c>
      <c r="H4150" t="s">
        <v>106</v>
      </c>
      <c r="I4150" s="1">
        <v>25.94</v>
      </c>
      <c r="J4150" s="1">
        <v>25.39</v>
      </c>
      <c r="K4150" t="s">
        <v>4227</v>
      </c>
      <c r="L4150" s="1">
        <v>27.93</v>
      </c>
    </row>
    <row r="4151" spans="1:12">
      <c r="A4151" t="s">
        <v>4225</v>
      </c>
      <c r="B4151">
        <v>427883</v>
      </c>
      <c r="C4151" s="2" t="str">
        <f>"B230SDEF"</f>
        <v>B230SDEF</v>
      </c>
      <c r="D4151" t="s">
        <v>4253</v>
      </c>
      <c r="E4151" t="s">
        <v>4</v>
      </c>
      <c r="F4151">
        <v>40.32</v>
      </c>
      <c r="G4151">
        <v>3.36</v>
      </c>
      <c r="H4151" t="s">
        <v>106</v>
      </c>
      <c r="I4151" s="1">
        <v>25.94</v>
      </c>
      <c r="J4151" s="1">
        <v>25.39</v>
      </c>
      <c r="K4151" t="s">
        <v>4227</v>
      </c>
      <c r="L4151" s="1">
        <v>27.93</v>
      </c>
    </row>
    <row r="4152" spans="1:12">
      <c r="A4152" t="s">
        <v>4225</v>
      </c>
      <c r="B4152">
        <v>389399</v>
      </c>
      <c r="C4152" s="2" t="str">
        <f>"B230SITF"</f>
        <v>B230SITF</v>
      </c>
      <c r="D4152" t="s">
        <v>4262</v>
      </c>
      <c r="E4152" t="s">
        <v>4</v>
      </c>
      <c r="F4152">
        <v>22.8</v>
      </c>
      <c r="G4152">
        <v>1.9</v>
      </c>
      <c r="H4152" t="s">
        <v>106</v>
      </c>
      <c r="I4152" s="1">
        <v>25.94</v>
      </c>
      <c r="J4152" s="1">
        <v>25.39</v>
      </c>
      <c r="K4152" t="s">
        <v>4227</v>
      </c>
      <c r="L4152" s="1">
        <v>27.93</v>
      </c>
    </row>
    <row r="4153" spans="1:12">
      <c r="A4153" t="s">
        <v>4225</v>
      </c>
      <c r="B4153">
        <v>389400</v>
      </c>
      <c r="C4153" s="2" t="str">
        <f>"B230STSF"</f>
        <v>B230STSF</v>
      </c>
      <c r="D4153" t="s">
        <v>4263</v>
      </c>
      <c r="E4153" t="s">
        <v>4</v>
      </c>
      <c r="F4153">
        <v>24.96</v>
      </c>
      <c r="G4153">
        <v>2.08</v>
      </c>
      <c r="H4153" t="s">
        <v>106</v>
      </c>
      <c r="I4153" s="1">
        <v>20.75</v>
      </c>
      <c r="J4153" s="1">
        <v>20.309999999999999</v>
      </c>
      <c r="K4153" t="s">
        <v>4227</v>
      </c>
      <c r="L4153" s="1">
        <v>22.34</v>
      </c>
    </row>
    <row r="4154" spans="1:12">
      <c r="A4154" t="s">
        <v>4225</v>
      </c>
      <c r="B4154">
        <v>381384</v>
      </c>
      <c r="C4154" s="2" t="str">
        <f>"B401FOYF"</f>
        <v>B401FOYF</v>
      </c>
      <c r="D4154" t="s">
        <v>4264</v>
      </c>
      <c r="E4154" t="s">
        <v>4</v>
      </c>
      <c r="F4154">
        <v>21.06</v>
      </c>
      <c r="G4154">
        <v>1.17</v>
      </c>
      <c r="H4154" t="s">
        <v>4041</v>
      </c>
      <c r="I4154" s="1">
        <v>5.71</v>
      </c>
      <c r="J4154" s="1">
        <v>5.61</v>
      </c>
      <c r="K4154" t="s">
        <v>4227</v>
      </c>
      <c r="L4154" s="1">
        <v>6.17</v>
      </c>
    </row>
    <row r="4155" spans="1:12">
      <c r="A4155" t="s">
        <v>4225</v>
      </c>
      <c r="B4155">
        <v>381385</v>
      </c>
      <c r="C4155" s="2" t="str">
        <f>"B401FPLF"</f>
        <v>B401FPLF</v>
      </c>
      <c r="D4155" t="s">
        <v>4265</v>
      </c>
      <c r="E4155" t="s">
        <v>4</v>
      </c>
      <c r="F4155">
        <v>34.380000000000003</v>
      </c>
      <c r="G4155">
        <v>1.91</v>
      </c>
      <c r="H4155" t="s">
        <v>4041</v>
      </c>
      <c r="I4155" s="1">
        <v>5.71</v>
      </c>
      <c r="J4155" s="1">
        <v>5.61</v>
      </c>
      <c r="K4155" t="s">
        <v>4227</v>
      </c>
      <c r="L4155" s="1">
        <v>6.17</v>
      </c>
    </row>
    <row r="4156" spans="1:12">
      <c r="A4156" t="s">
        <v>4225</v>
      </c>
      <c r="B4156">
        <v>381386</v>
      </c>
      <c r="C4156" s="2" t="str">
        <f>"B401FSLF"</f>
        <v>B401FSLF</v>
      </c>
      <c r="D4156" t="s">
        <v>4266</v>
      </c>
      <c r="E4156" t="s">
        <v>4</v>
      </c>
      <c r="F4156">
        <v>34.92</v>
      </c>
      <c r="G4156">
        <v>1.94</v>
      </c>
      <c r="H4156" t="s">
        <v>4041</v>
      </c>
      <c r="I4156" s="1">
        <v>5.71</v>
      </c>
      <c r="J4156" s="1">
        <v>5.61</v>
      </c>
      <c r="K4156" t="s">
        <v>4227</v>
      </c>
      <c r="L4156" s="1">
        <v>6.17</v>
      </c>
    </row>
    <row r="4157" spans="1:12">
      <c r="A4157" t="s">
        <v>4225</v>
      </c>
      <c r="B4157">
        <v>381387</v>
      </c>
      <c r="C4157" s="2" t="str">
        <f>"B401KGWF"</f>
        <v>B401KGWF</v>
      </c>
      <c r="D4157" t="s">
        <v>4267</v>
      </c>
      <c r="E4157" t="s">
        <v>4</v>
      </c>
      <c r="F4157">
        <v>29.04</v>
      </c>
      <c r="G4157">
        <v>3.63</v>
      </c>
      <c r="H4157" t="s">
        <v>1456</v>
      </c>
      <c r="I4157" s="1">
        <v>11.43</v>
      </c>
      <c r="J4157" s="1">
        <v>11.21</v>
      </c>
      <c r="K4157" t="s">
        <v>4227</v>
      </c>
      <c r="L4157" s="1">
        <v>12.33</v>
      </c>
    </row>
    <row r="4158" spans="1:12">
      <c r="A4158" t="s">
        <v>4225</v>
      </c>
      <c r="B4158">
        <v>381388</v>
      </c>
      <c r="C4158" s="2" t="str">
        <f>"B401SBLF"</f>
        <v>B401SBLF</v>
      </c>
      <c r="D4158" t="s">
        <v>4268</v>
      </c>
      <c r="E4158" t="s">
        <v>4</v>
      </c>
      <c r="F4158">
        <v>30.06</v>
      </c>
      <c r="G4158">
        <v>1.67</v>
      </c>
      <c r="H4158" t="s">
        <v>4041</v>
      </c>
      <c r="I4158" s="1">
        <v>5.71</v>
      </c>
      <c r="J4158" s="1">
        <v>5.61</v>
      </c>
      <c r="K4158" t="s">
        <v>4227</v>
      </c>
      <c r="L4158" s="1">
        <v>6.17</v>
      </c>
    </row>
    <row r="4159" spans="1:12">
      <c r="A4159" t="s">
        <v>4225</v>
      </c>
      <c r="B4159">
        <v>381393</v>
      </c>
      <c r="C4159" s="2" t="str">
        <f>"B401SITF"</f>
        <v>B401SITF</v>
      </c>
      <c r="D4159" t="s">
        <v>4269</v>
      </c>
      <c r="E4159" t="s">
        <v>4</v>
      </c>
      <c r="F4159">
        <v>33.840000000000003</v>
      </c>
      <c r="G4159">
        <v>1.88</v>
      </c>
      <c r="H4159" t="s">
        <v>4041</v>
      </c>
      <c r="I4159" s="1">
        <v>5.71</v>
      </c>
      <c r="J4159" s="1">
        <v>5.61</v>
      </c>
      <c r="K4159" t="s">
        <v>4227</v>
      </c>
      <c r="L4159" s="1">
        <v>6.17</v>
      </c>
    </row>
    <row r="4160" spans="1:12">
      <c r="A4160" t="s">
        <v>4225</v>
      </c>
      <c r="B4160">
        <v>381389</v>
      </c>
      <c r="C4160" s="2" t="str">
        <f>"B401SPLF"</f>
        <v>B401SPLF</v>
      </c>
      <c r="D4160" t="s">
        <v>4270</v>
      </c>
      <c r="E4160" t="s">
        <v>4</v>
      </c>
      <c r="F4160">
        <v>36.72</v>
      </c>
      <c r="G4160">
        <v>2.04</v>
      </c>
      <c r="H4160" t="s">
        <v>4041</v>
      </c>
      <c r="I4160" s="1">
        <v>5.71</v>
      </c>
      <c r="J4160" s="1">
        <v>5.61</v>
      </c>
      <c r="K4160" t="s">
        <v>4227</v>
      </c>
      <c r="L4160" s="1">
        <v>6.17</v>
      </c>
    </row>
    <row r="4161" spans="1:12">
      <c r="A4161" t="s">
        <v>4225</v>
      </c>
      <c r="B4161">
        <v>483935</v>
      </c>
      <c r="C4161" s="2" t="str">
        <f>"B401STBF"</f>
        <v>B401STBF</v>
      </c>
      <c r="D4161" t="s">
        <v>4271</v>
      </c>
      <c r="E4161" t="s">
        <v>4</v>
      </c>
      <c r="F4161">
        <v>28</v>
      </c>
      <c r="G4161">
        <v>3.5</v>
      </c>
      <c r="H4161" t="s">
        <v>1456</v>
      </c>
      <c r="I4161" s="1">
        <v>11.43</v>
      </c>
      <c r="J4161" s="1">
        <v>11.21</v>
      </c>
      <c r="K4161" t="s">
        <v>4227</v>
      </c>
      <c r="L4161" s="1">
        <v>12.33</v>
      </c>
    </row>
    <row r="4162" spans="1:12">
      <c r="A4162" t="s">
        <v>4225</v>
      </c>
      <c r="B4162">
        <v>381392</v>
      </c>
      <c r="C4162" s="2" t="str">
        <f>"B401STSF"</f>
        <v>B401STSF</v>
      </c>
      <c r="D4162" t="s">
        <v>4272</v>
      </c>
      <c r="E4162" t="s">
        <v>4</v>
      </c>
      <c r="F4162">
        <v>30.06</v>
      </c>
      <c r="G4162">
        <v>1.67</v>
      </c>
      <c r="H4162" t="s">
        <v>4041</v>
      </c>
      <c r="I4162" s="1">
        <v>4.05</v>
      </c>
      <c r="J4162" s="1">
        <v>3.97</v>
      </c>
      <c r="K4162" t="s">
        <v>4227</v>
      </c>
      <c r="L4162" s="1">
        <v>4.37</v>
      </c>
    </row>
    <row r="4163" spans="1:12">
      <c r="A4163" t="s">
        <v>4225</v>
      </c>
      <c r="B4163">
        <v>381395</v>
      </c>
      <c r="C4163" s="2" t="str">
        <f>"B421FOYF"</f>
        <v>B421FOYF</v>
      </c>
      <c r="D4163" t="s">
        <v>4273</v>
      </c>
      <c r="E4163" t="s">
        <v>4</v>
      </c>
      <c r="F4163">
        <v>28.08</v>
      </c>
      <c r="G4163">
        <v>1.56</v>
      </c>
      <c r="H4163" t="s">
        <v>4041</v>
      </c>
      <c r="I4163" s="1">
        <v>5.71</v>
      </c>
      <c r="J4163" s="1">
        <v>5.61</v>
      </c>
      <c r="K4163" t="s">
        <v>4227</v>
      </c>
      <c r="L4163" s="1">
        <v>6.17</v>
      </c>
    </row>
    <row r="4164" spans="1:12">
      <c r="A4164" t="s">
        <v>4225</v>
      </c>
      <c r="B4164">
        <v>381396</v>
      </c>
      <c r="C4164" s="2" t="str">
        <f>"B421FPLF"</f>
        <v>B421FPLF</v>
      </c>
      <c r="D4164" t="s">
        <v>4274</v>
      </c>
      <c r="E4164" t="s">
        <v>4</v>
      </c>
      <c r="F4164">
        <v>33.119999999999997</v>
      </c>
      <c r="G4164">
        <v>1.84</v>
      </c>
      <c r="H4164" t="s">
        <v>4041</v>
      </c>
      <c r="I4164" s="1">
        <v>5.71</v>
      </c>
      <c r="J4164" s="1">
        <v>5.61</v>
      </c>
      <c r="K4164" t="s">
        <v>4227</v>
      </c>
      <c r="L4164" s="1">
        <v>6.17</v>
      </c>
    </row>
    <row r="4165" spans="1:12">
      <c r="A4165" t="s">
        <v>4225</v>
      </c>
      <c r="B4165">
        <v>381397</v>
      </c>
      <c r="C4165" s="2" t="str">
        <f>"B421FSLF"</f>
        <v>B421FSLF</v>
      </c>
      <c r="D4165" t="s">
        <v>4275</v>
      </c>
      <c r="E4165" t="s">
        <v>4</v>
      </c>
      <c r="F4165">
        <v>30.24</v>
      </c>
      <c r="G4165">
        <v>1.68</v>
      </c>
      <c r="H4165" t="s">
        <v>4041</v>
      </c>
      <c r="I4165" s="1">
        <v>5.71</v>
      </c>
      <c r="J4165" s="1">
        <v>5.61</v>
      </c>
      <c r="K4165" t="s">
        <v>4227</v>
      </c>
      <c r="L4165" s="1">
        <v>6.17</v>
      </c>
    </row>
    <row r="4166" spans="1:12">
      <c r="A4166" t="s">
        <v>4225</v>
      </c>
      <c r="B4166">
        <v>381399</v>
      </c>
      <c r="C4166" s="2" t="str">
        <f>"B421KGWF"</f>
        <v>B421KGWF</v>
      </c>
      <c r="D4166" t="s">
        <v>4276</v>
      </c>
      <c r="E4166" t="s">
        <v>4</v>
      </c>
      <c r="F4166">
        <v>29.04</v>
      </c>
      <c r="G4166">
        <v>3.63</v>
      </c>
      <c r="H4166" t="s">
        <v>1456</v>
      </c>
      <c r="I4166" s="1">
        <v>11.69</v>
      </c>
      <c r="J4166" s="1">
        <v>11.47</v>
      </c>
      <c r="K4166" t="s">
        <v>4227</v>
      </c>
      <c r="L4166" s="1">
        <v>12.62</v>
      </c>
    </row>
    <row r="4167" spans="1:12">
      <c r="A4167" t="s">
        <v>4225</v>
      </c>
      <c r="B4167">
        <v>381400</v>
      </c>
      <c r="C4167" s="2" t="str">
        <f>"B421SBLF"</f>
        <v>B421SBLF</v>
      </c>
      <c r="D4167" t="s">
        <v>4277</v>
      </c>
      <c r="E4167" t="s">
        <v>4</v>
      </c>
      <c r="F4167">
        <v>30.06</v>
      </c>
      <c r="G4167">
        <v>1.67</v>
      </c>
      <c r="H4167" t="s">
        <v>4041</v>
      </c>
      <c r="I4167" s="1">
        <v>5.71</v>
      </c>
      <c r="J4167" s="1">
        <v>5.61</v>
      </c>
      <c r="K4167" t="s">
        <v>4227</v>
      </c>
      <c r="L4167" s="1">
        <v>6.17</v>
      </c>
    </row>
    <row r="4168" spans="1:12">
      <c r="A4168" t="s">
        <v>4225</v>
      </c>
      <c r="B4168">
        <v>381403</v>
      </c>
      <c r="C4168" s="2" t="str">
        <f>"B421SITF"</f>
        <v>B421SITF</v>
      </c>
      <c r="D4168" t="s">
        <v>4278</v>
      </c>
      <c r="E4168" t="s">
        <v>4</v>
      </c>
      <c r="F4168">
        <v>39.06</v>
      </c>
      <c r="G4168">
        <v>2.17</v>
      </c>
      <c r="H4168" t="s">
        <v>4041</v>
      </c>
      <c r="I4168" s="1">
        <v>5.71</v>
      </c>
      <c r="J4168" s="1">
        <v>5.61</v>
      </c>
      <c r="K4168" t="s">
        <v>4227</v>
      </c>
      <c r="L4168" s="1">
        <v>6.17</v>
      </c>
    </row>
    <row r="4169" spans="1:12">
      <c r="A4169" t="s">
        <v>4225</v>
      </c>
      <c r="B4169">
        <v>381401</v>
      </c>
      <c r="C4169" s="2" t="str">
        <f>"B421SPLF"</f>
        <v>B421SPLF</v>
      </c>
      <c r="D4169" t="s">
        <v>4279</v>
      </c>
      <c r="E4169" t="s">
        <v>4</v>
      </c>
      <c r="F4169">
        <v>37.08</v>
      </c>
      <c r="G4169">
        <v>2.06</v>
      </c>
      <c r="H4169" t="s">
        <v>4041</v>
      </c>
      <c r="I4169" s="1">
        <v>5.71</v>
      </c>
      <c r="J4169" s="1">
        <v>5.61</v>
      </c>
      <c r="K4169" t="s">
        <v>4227</v>
      </c>
      <c r="L4169" s="1">
        <v>6.17</v>
      </c>
    </row>
    <row r="4170" spans="1:12">
      <c r="A4170" t="s">
        <v>4225</v>
      </c>
      <c r="B4170">
        <v>381402</v>
      </c>
      <c r="C4170" s="2" t="str">
        <f>"B421STSF"</f>
        <v>B421STSF</v>
      </c>
      <c r="D4170" t="s">
        <v>4280</v>
      </c>
      <c r="E4170" t="s">
        <v>4</v>
      </c>
      <c r="F4170">
        <v>30.06</v>
      </c>
      <c r="G4170">
        <v>1.67</v>
      </c>
      <c r="H4170" t="s">
        <v>4041</v>
      </c>
      <c r="I4170" s="1">
        <v>4.01</v>
      </c>
      <c r="J4170" s="1">
        <v>3.93</v>
      </c>
      <c r="K4170" t="s">
        <v>4227</v>
      </c>
      <c r="L4170" s="1">
        <v>4.33</v>
      </c>
    </row>
    <row r="4171" spans="1:12">
      <c r="A4171" t="s">
        <v>4225</v>
      </c>
      <c r="B4171">
        <v>389419</v>
      </c>
      <c r="C4171" s="2" t="str">
        <f>"B561FDNF"</f>
        <v>B561FDNF</v>
      </c>
      <c r="D4171" t="s">
        <v>4281</v>
      </c>
      <c r="E4171" t="s">
        <v>4</v>
      </c>
      <c r="F4171">
        <v>33.72</v>
      </c>
      <c r="G4171">
        <v>2.81</v>
      </c>
      <c r="H4171" t="s">
        <v>106</v>
      </c>
      <c r="I4171" s="1">
        <v>32.42</v>
      </c>
      <c r="J4171" s="1">
        <v>31.74</v>
      </c>
      <c r="K4171" t="s">
        <v>4227</v>
      </c>
      <c r="L4171" s="1">
        <v>34.909999999999997</v>
      </c>
    </row>
    <row r="4172" spans="1:12">
      <c r="A4172" t="s">
        <v>4225</v>
      </c>
      <c r="B4172">
        <v>389421</v>
      </c>
      <c r="C4172" s="2" t="str">
        <f>"B561FSLF"</f>
        <v>B561FSLF</v>
      </c>
      <c r="D4172" t="s">
        <v>4282</v>
      </c>
      <c r="E4172" t="s">
        <v>4</v>
      </c>
      <c r="F4172">
        <v>20.04</v>
      </c>
      <c r="G4172">
        <v>1.67</v>
      </c>
      <c r="H4172" t="s">
        <v>106</v>
      </c>
      <c r="I4172" s="1">
        <v>32.42</v>
      </c>
      <c r="J4172" s="1">
        <v>31.74</v>
      </c>
      <c r="K4172" t="s">
        <v>4227</v>
      </c>
      <c r="L4172" s="1">
        <v>34.909999999999997</v>
      </c>
    </row>
    <row r="4173" spans="1:12">
      <c r="A4173" t="s">
        <v>4225</v>
      </c>
      <c r="B4173">
        <v>389422</v>
      </c>
      <c r="C4173" s="2" t="str">
        <f>"B561KPNF"</f>
        <v>B561KPNF</v>
      </c>
      <c r="D4173" t="s">
        <v>4283</v>
      </c>
      <c r="E4173" t="s">
        <v>4</v>
      </c>
      <c r="F4173">
        <v>34.74</v>
      </c>
      <c r="G4173">
        <v>5.79</v>
      </c>
      <c r="H4173" t="s">
        <v>20</v>
      </c>
      <c r="I4173" s="1">
        <v>62.43</v>
      </c>
      <c r="J4173" s="1">
        <v>61.12</v>
      </c>
      <c r="K4173" t="s">
        <v>4227</v>
      </c>
      <c r="L4173" s="1">
        <v>67.23</v>
      </c>
    </row>
    <row r="4174" spans="1:12">
      <c r="A4174" t="s">
        <v>4225</v>
      </c>
      <c r="B4174">
        <v>389423</v>
      </c>
      <c r="C4174" s="2" t="str">
        <f>"B561SBLF"</f>
        <v>B561SBLF</v>
      </c>
      <c r="D4174" t="s">
        <v>4284</v>
      </c>
      <c r="E4174" t="s">
        <v>4</v>
      </c>
      <c r="F4174">
        <v>29.76</v>
      </c>
      <c r="G4174">
        <v>2.48</v>
      </c>
      <c r="H4174" t="s">
        <v>106</v>
      </c>
      <c r="I4174" s="1">
        <v>32.42</v>
      </c>
      <c r="J4174" s="1">
        <v>31.74</v>
      </c>
      <c r="K4174" t="s">
        <v>4227</v>
      </c>
      <c r="L4174" s="1">
        <v>34.909999999999997</v>
      </c>
    </row>
    <row r="4175" spans="1:12">
      <c r="A4175" t="s">
        <v>4225</v>
      </c>
      <c r="B4175">
        <v>389425</v>
      </c>
      <c r="C4175" s="2" t="str">
        <f>"B561SPLF"</f>
        <v>B561SPLF</v>
      </c>
      <c r="D4175" t="s">
        <v>4285</v>
      </c>
      <c r="E4175" t="s">
        <v>4</v>
      </c>
      <c r="F4175">
        <v>31.08</v>
      </c>
      <c r="G4175">
        <v>2.59</v>
      </c>
      <c r="H4175" t="s">
        <v>106</v>
      </c>
      <c r="I4175" s="1">
        <v>32.42</v>
      </c>
      <c r="J4175" s="1">
        <v>31.74</v>
      </c>
      <c r="K4175" t="s">
        <v>4227</v>
      </c>
      <c r="L4175" s="1">
        <v>34.909999999999997</v>
      </c>
    </row>
    <row r="4176" spans="1:12">
      <c r="A4176" t="s">
        <v>4225</v>
      </c>
      <c r="B4176">
        <v>389426</v>
      </c>
      <c r="C4176" s="2" t="str">
        <f>"B561STSF"</f>
        <v>B561STSF</v>
      </c>
      <c r="D4176" t="s">
        <v>4286</v>
      </c>
      <c r="E4176" t="s">
        <v>4</v>
      </c>
      <c r="F4176">
        <v>24.36</v>
      </c>
      <c r="G4176">
        <v>2.0299999999999998</v>
      </c>
      <c r="H4176" t="s">
        <v>106</v>
      </c>
      <c r="I4176" s="1">
        <v>22.6</v>
      </c>
      <c r="J4176" s="1">
        <v>22.12</v>
      </c>
      <c r="K4176" t="s">
        <v>4227</v>
      </c>
      <c r="L4176" s="1">
        <v>24.34</v>
      </c>
    </row>
    <row r="4177" spans="1:12">
      <c r="A4177" t="s">
        <v>4225</v>
      </c>
      <c r="B4177">
        <v>381354</v>
      </c>
      <c r="C4177" s="2" t="str">
        <f>"B595FDNF"</f>
        <v>B595FDNF</v>
      </c>
      <c r="D4177" t="s">
        <v>4287</v>
      </c>
      <c r="E4177" t="s">
        <v>4</v>
      </c>
      <c r="F4177">
        <v>52.56</v>
      </c>
      <c r="G4177">
        <v>4.38</v>
      </c>
      <c r="H4177" t="s">
        <v>106</v>
      </c>
      <c r="I4177" s="1">
        <v>36.49</v>
      </c>
      <c r="J4177" s="1">
        <v>35.729999999999997</v>
      </c>
      <c r="K4177" t="s">
        <v>4227</v>
      </c>
      <c r="L4177" s="1">
        <v>39.299999999999997</v>
      </c>
    </row>
    <row r="4178" spans="1:12">
      <c r="A4178" t="s">
        <v>4225</v>
      </c>
      <c r="B4178">
        <v>381355</v>
      </c>
      <c r="C4178" s="2" t="str">
        <f>"B595FOYF"</f>
        <v>B595FOYF</v>
      </c>
      <c r="D4178" t="s">
        <v>4288</v>
      </c>
      <c r="E4178" t="s">
        <v>4</v>
      </c>
      <c r="F4178">
        <v>22.44</v>
      </c>
      <c r="G4178">
        <v>1.87</v>
      </c>
      <c r="H4178" t="s">
        <v>106</v>
      </c>
      <c r="I4178" s="1">
        <v>36.49</v>
      </c>
      <c r="J4178" s="1">
        <v>35.729999999999997</v>
      </c>
      <c r="K4178" t="s">
        <v>4227</v>
      </c>
      <c r="L4178" s="1">
        <v>39.299999999999997</v>
      </c>
    </row>
    <row r="4179" spans="1:12">
      <c r="A4179" t="s">
        <v>4225</v>
      </c>
      <c r="B4179">
        <v>381356</v>
      </c>
      <c r="C4179" s="2" t="str">
        <f>"B595FSLF"</f>
        <v>B595FSLF</v>
      </c>
      <c r="D4179" t="s">
        <v>4289</v>
      </c>
      <c r="E4179" t="s">
        <v>4</v>
      </c>
      <c r="F4179">
        <v>32.4</v>
      </c>
      <c r="G4179">
        <v>2.7</v>
      </c>
      <c r="H4179" t="s">
        <v>106</v>
      </c>
      <c r="I4179" s="1">
        <v>36.49</v>
      </c>
      <c r="J4179" s="1">
        <v>35.729999999999997</v>
      </c>
      <c r="K4179" t="s">
        <v>4227</v>
      </c>
      <c r="L4179" s="1">
        <v>39.299999999999997</v>
      </c>
    </row>
    <row r="4180" spans="1:12">
      <c r="A4180" t="s">
        <v>4225</v>
      </c>
      <c r="B4180">
        <v>381357</v>
      </c>
      <c r="C4180" s="2" t="str">
        <f>"B595KPVF"</f>
        <v>B595KPVF</v>
      </c>
      <c r="D4180" t="s">
        <v>4290</v>
      </c>
      <c r="E4180" t="s">
        <v>4</v>
      </c>
      <c r="F4180">
        <v>39</v>
      </c>
      <c r="G4180">
        <v>6.5</v>
      </c>
      <c r="H4180" t="s">
        <v>20</v>
      </c>
      <c r="I4180" s="1">
        <v>60.02</v>
      </c>
      <c r="J4180" s="1">
        <v>58.76</v>
      </c>
      <c r="K4180" t="s">
        <v>4227</v>
      </c>
      <c r="L4180" s="1">
        <v>64.63</v>
      </c>
    </row>
    <row r="4181" spans="1:12">
      <c r="A4181" t="s">
        <v>4225</v>
      </c>
      <c r="B4181">
        <v>381358</v>
      </c>
      <c r="C4181" s="2" t="str">
        <f>"B595KSBF"</f>
        <v>B595KSBF</v>
      </c>
      <c r="D4181" t="s">
        <v>4291</v>
      </c>
      <c r="E4181" t="s">
        <v>4</v>
      </c>
      <c r="F4181">
        <v>19.98</v>
      </c>
      <c r="G4181">
        <v>3.33</v>
      </c>
      <c r="H4181" t="s">
        <v>20</v>
      </c>
      <c r="I4181" s="1">
        <v>36.49</v>
      </c>
      <c r="J4181" s="1">
        <v>35.729999999999997</v>
      </c>
      <c r="K4181" t="s">
        <v>4227</v>
      </c>
      <c r="L4181" s="1">
        <v>39.299999999999997</v>
      </c>
    </row>
    <row r="4182" spans="1:12">
      <c r="A4182" t="s">
        <v>4225</v>
      </c>
      <c r="B4182">
        <v>381359</v>
      </c>
      <c r="C4182" s="2" t="str">
        <f>"B595SBLF"</f>
        <v>B595SBLF</v>
      </c>
      <c r="D4182" t="s">
        <v>4292</v>
      </c>
      <c r="E4182" t="s">
        <v>4</v>
      </c>
      <c r="F4182">
        <v>45.36</v>
      </c>
      <c r="G4182">
        <v>3.78</v>
      </c>
      <c r="H4182" t="s">
        <v>106</v>
      </c>
      <c r="I4182" s="1">
        <v>47.42</v>
      </c>
      <c r="J4182" s="1">
        <v>46.43</v>
      </c>
      <c r="K4182" t="s">
        <v>4227</v>
      </c>
      <c r="L4182" s="1">
        <v>51.07</v>
      </c>
    </row>
    <row r="4183" spans="1:12">
      <c r="A4183" t="s">
        <v>4225</v>
      </c>
      <c r="B4183">
        <v>381360</v>
      </c>
      <c r="C4183" s="2" t="str">
        <f>"B595SDEF"</f>
        <v>B595SDEF</v>
      </c>
      <c r="D4183" t="s">
        <v>4293</v>
      </c>
      <c r="E4183" t="s">
        <v>4</v>
      </c>
      <c r="F4183">
        <v>54.36</v>
      </c>
      <c r="G4183">
        <v>4.53</v>
      </c>
      <c r="H4183" t="s">
        <v>106</v>
      </c>
      <c r="I4183" s="1">
        <v>54.65</v>
      </c>
      <c r="J4183" s="1">
        <v>53.5</v>
      </c>
      <c r="K4183" t="s">
        <v>4227</v>
      </c>
      <c r="L4183" s="1">
        <v>58.85</v>
      </c>
    </row>
    <row r="4184" spans="1:12">
      <c r="A4184" t="s">
        <v>4225</v>
      </c>
      <c r="B4184">
        <v>381362</v>
      </c>
      <c r="C4184" s="2" t="str">
        <f>"B595SITF"</f>
        <v>B595SITF</v>
      </c>
      <c r="D4184" t="s">
        <v>4294</v>
      </c>
      <c r="E4184" t="s">
        <v>4</v>
      </c>
      <c r="F4184">
        <v>29.88</v>
      </c>
      <c r="G4184">
        <v>2.4900000000000002</v>
      </c>
      <c r="H4184" t="s">
        <v>106</v>
      </c>
      <c r="I4184" s="1">
        <v>36.49</v>
      </c>
      <c r="J4184" s="1">
        <v>35.729999999999997</v>
      </c>
      <c r="K4184" t="s">
        <v>4227</v>
      </c>
      <c r="L4184" s="1">
        <v>39.299999999999997</v>
      </c>
    </row>
    <row r="4185" spans="1:12">
      <c r="A4185" t="s">
        <v>4225</v>
      </c>
      <c r="B4185">
        <v>381361</v>
      </c>
      <c r="C4185" s="2" t="str">
        <f>"B595STSF"</f>
        <v>B595STSF</v>
      </c>
      <c r="D4185" t="s">
        <v>4295</v>
      </c>
      <c r="E4185" t="s">
        <v>4</v>
      </c>
      <c r="F4185">
        <v>40.68</v>
      </c>
      <c r="G4185">
        <v>3.39</v>
      </c>
      <c r="H4185" t="s">
        <v>106</v>
      </c>
      <c r="I4185" s="1">
        <v>33.35</v>
      </c>
      <c r="J4185" s="1">
        <v>32.64</v>
      </c>
      <c r="K4185" t="s">
        <v>4227</v>
      </c>
      <c r="L4185" s="1">
        <v>35.909999999999997</v>
      </c>
    </row>
    <row r="4186" spans="1:12">
      <c r="A4186" t="s">
        <v>4225</v>
      </c>
      <c r="B4186">
        <v>381365</v>
      </c>
      <c r="C4186" s="2" t="str">
        <f>"B606FDNF"</f>
        <v>B606FDNF</v>
      </c>
      <c r="D4186" t="s">
        <v>4296</v>
      </c>
      <c r="E4186" t="s">
        <v>4</v>
      </c>
      <c r="F4186">
        <v>49.68</v>
      </c>
      <c r="G4186">
        <v>4.1399999999999997</v>
      </c>
      <c r="H4186" t="s">
        <v>106</v>
      </c>
      <c r="I4186" s="1">
        <v>42.05</v>
      </c>
      <c r="J4186" s="1">
        <v>41.17</v>
      </c>
      <c r="K4186" t="s">
        <v>4227</v>
      </c>
      <c r="L4186" s="1">
        <v>45.28</v>
      </c>
    </row>
    <row r="4187" spans="1:12">
      <c r="A4187" t="s">
        <v>4225</v>
      </c>
      <c r="B4187">
        <v>381366</v>
      </c>
      <c r="C4187" s="2" t="str">
        <f>"B606FOYF"</f>
        <v>B606FOYF</v>
      </c>
      <c r="D4187" t="s">
        <v>4297</v>
      </c>
      <c r="E4187" t="s">
        <v>4</v>
      </c>
      <c r="F4187">
        <v>27.96</v>
      </c>
      <c r="G4187">
        <v>2.33</v>
      </c>
      <c r="H4187" t="s">
        <v>106</v>
      </c>
      <c r="I4187" s="1">
        <v>42.05</v>
      </c>
      <c r="J4187" s="1">
        <v>41.17</v>
      </c>
      <c r="K4187" t="s">
        <v>4227</v>
      </c>
      <c r="L4187" s="1">
        <v>45.28</v>
      </c>
    </row>
    <row r="4188" spans="1:12">
      <c r="A4188" t="s">
        <v>4225</v>
      </c>
      <c r="B4188">
        <v>381367</v>
      </c>
      <c r="C4188" s="2" t="str">
        <f>"B606FSLF"</f>
        <v>B606FSLF</v>
      </c>
      <c r="D4188" t="s">
        <v>4298</v>
      </c>
      <c r="E4188" t="s">
        <v>4</v>
      </c>
      <c r="F4188">
        <v>30</v>
      </c>
      <c r="G4188">
        <v>2.5</v>
      </c>
      <c r="H4188" t="s">
        <v>106</v>
      </c>
      <c r="I4188" s="1">
        <v>42.05</v>
      </c>
      <c r="J4188" s="1">
        <v>41.17</v>
      </c>
      <c r="K4188" t="s">
        <v>4227</v>
      </c>
      <c r="L4188" s="1">
        <v>45.28</v>
      </c>
    </row>
    <row r="4189" spans="1:12">
      <c r="A4189" t="s">
        <v>4225</v>
      </c>
      <c r="B4189">
        <v>381368</v>
      </c>
      <c r="C4189" s="2" t="str">
        <f>"B606KPVF"</f>
        <v>B606KPVF</v>
      </c>
      <c r="D4189" t="s">
        <v>4299</v>
      </c>
      <c r="E4189" t="s">
        <v>4</v>
      </c>
      <c r="F4189">
        <v>36.72</v>
      </c>
      <c r="G4189">
        <v>6.12</v>
      </c>
      <c r="H4189" t="s">
        <v>20</v>
      </c>
      <c r="I4189" s="1">
        <v>60.02</v>
      </c>
      <c r="J4189" s="1">
        <v>58.76</v>
      </c>
      <c r="K4189" t="s">
        <v>4227</v>
      </c>
      <c r="L4189" s="1">
        <v>64.63</v>
      </c>
    </row>
    <row r="4190" spans="1:12">
      <c r="A4190" t="s">
        <v>4225</v>
      </c>
      <c r="B4190">
        <v>381370</v>
      </c>
      <c r="C4190" s="2" t="str">
        <f>"B606SBLF"</f>
        <v>B606SBLF</v>
      </c>
      <c r="D4190" t="s">
        <v>4300</v>
      </c>
      <c r="E4190" t="s">
        <v>4</v>
      </c>
      <c r="F4190">
        <v>39.24</v>
      </c>
      <c r="G4190">
        <v>3.27</v>
      </c>
      <c r="H4190" t="s">
        <v>106</v>
      </c>
      <c r="I4190" s="1">
        <v>42.05</v>
      </c>
      <c r="J4190" s="1">
        <v>41.17</v>
      </c>
      <c r="K4190" t="s">
        <v>4227</v>
      </c>
      <c r="L4190" s="1">
        <v>45.28</v>
      </c>
    </row>
    <row r="4191" spans="1:12">
      <c r="A4191" t="s">
        <v>4225</v>
      </c>
      <c r="B4191">
        <v>381371</v>
      </c>
      <c r="C4191" s="2" t="str">
        <f>"B606SDEF"</f>
        <v>B606SDEF</v>
      </c>
      <c r="D4191" t="s">
        <v>4301</v>
      </c>
      <c r="E4191" t="s">
        <v>4</v>
      </c>
      <c r="F4191">
        <v>51.6</v>
      </c>
      <c r="G4191">
        <v>4.3</v>
      </c>
      <c r="H4191" t="s">
        <v>106</v>
      </c>
      <c r="I4191" s="1">
        <v>42.05</v>
      </c>
      <c r="J4191" s="1">
        <v>41.17</v>
      </c>
      <c r="K4191" t="s">
        <v>4227</v>
      </c>
      <c r="L4191" s="1">
        <v>45.28</v>
      </c>
    </row>
    <row r="4192" spans="1:12">
      <c r="A4192" t="s">
        <v>4225</v>
      </c>
      <c r="B4192">
        <v>381373</v>
      </c>
      <c r="C4192" s="2" t="str">
        <f>"B606SITF"</f>
        <v>B606SITF</v>
      </c>
      <c r="D4192" t="s">
        <v>4302</v>
      </c>
      <c r="E4192" t="s">
        <v>4</v>
      </c>
      <c r="F4192">
        <v>34.92</v>
      </c>
      <c r="G4192">
        <v>2.91</v>
      </c>
      <c r="H4192" t="s">
        <v>106</v>
      </c>
      <c r="I4192" s="1">
        <v>42.05</v>
      </c>
      <c r="J4192" s="1">
        <v>41.17</v>
      </c>
      <c r="K4192" t="s">
        <v>4227</v>
      </c>
      <c r="L4192" s="1">
        <v>45.28</v>
      </c>
    </row>
    <row r="4193" spans="1:12">
      <c r="A4193" t="s">
        <v>4225</v>
      </c>
      <c r="B4193">
        <v>381374</v>
      </c>
      <c r="C4193" s="2" t="str">
        <f>"B606STBF"</f>
        <v>B606STBF</v>
      </c>
      <c r="D4193" t="s">
        <v>4303</v>
      </c>
      <c r="E4193" t="s">
        <v>4</v>
      </c>
      <c r="F4193">
        <v>33.96</v>
      </c>
      <c r="G4193">
        <v>5.66</v>
      </c>
      <c r="H4193" t="s">
        <v>20</v>
      </c>
      <c r="I4193" s="1">
        <v>60.02</v>
      </c>
      <c r="J4193" s="1">
        <v>58.76</v>
      </c>
      <c r="K4193" t="s">
        <v>4227</v>
      </c>
      <c r="L4193" s="1">
        <v>64.63</v>
      </c>
    </row>
    <row r="4194" spans="1:12">
      <c r="A4194" t="s">
        <v>4225</v>
      </c>
      <c r="B4194">
        <v>381372</v>
      </c>
      <c r="C4194" s="2" t="str">
        <f>"B606STSF"</f>
        <v>B606STSF</v>
      </c>
      <c r="D4194" t="s">
        <v>4304</v>
      </c>
      <c r="E4194" t="s">
        <v>4</v>
      </c>
      <c r="F4194">
        <v>36.96</v>
      </c>
      <c r="G4194">
        <v>3.08</v>
      </c>
      <c r="H4194" t="s">
        <v>106</v>
      </c>
      <c r="I4194" s="1">
        <v>33.35</v>
      </c>
      <c r="J4194" s="1">
        <v>32.64</v>
      </c>
      <c r="K4194" t="s">
        <v>4227</v>
      </c>
      <c r="L4194" s="1">
        <v>35.909999999999997</v>
      </c>
    </row>
    <row r="4195" spans="1:12">
      <c r="A4195" t="s">
        <v>4225</v>
      </c>
      <c r="B4195">
        <v>389564</v>
      </c>
      <c r="C4195" s="2" t="str">
        <f>"B614KSSF"</f>
        <v>B614KSSF</v>
      </c>
      <c r="D4195" t="s">
        <v>4305</v>
      </c>
      <c r="E4195" t="s">
        <v>4</v>
      </c>
      <c r="F4195">
        <v>38.4</v>
      </c>
      <c r="G4195">
        <v>1.6</v>
      </c>
      <c r="H4195" t="s">
        <v>666</v>
      </c>
      <c r="I4195" s="1">
        <v>20.69</v>
      </c>
      <c r="J4195" s="1">
        <v>19.89</v>
      </c>
      <c r="K4195" t="s">
        <v>4227</v>
      </c>
      <c r="L4195" s="1">
        <v>21.88</v>
      </c>
    </row>
    <row r="4196" spans="1:12">
      <c r="A4196" t="s">
        <v>4225</v>
      </c>
      <c r="B4196">
        <v>389565</v>
      </c>
      <c r="C4196" s="2" t="str">
        <f>"B615KSSF"</f>
        <v>B615KSSF</v>
      </c>
      <c r="D4196" t="s">
        <v>4306</v>
      </c>
      <c r="E4196" t="s">
        <v>4</v>
      </c>
      <c r="F4196">
        <v>48.96</v>
      </c>
      <c r="G4196">
        <v>2.04</v>
      </c>
      <c r="H4196" t="s">
        <v>666</v>
      </c>
      <c r="I4196" s="1">
        <v>30.83</v>
      </c>
      <c r="J4196" s="1">
        <v>29.64</v>
      </c>
      <c r="K4196" t="s">
        <v>4227</v>
      </c>
      <c r="L4196" s="1">
        <v>32.6</v>
      </c>
    </row>
    <row r="4197" spans="1:12">
      <c r="A4197" t="s">
        <v>4225</v>
      </c>
      <c r="B4197">
        <v>390374</v>
      </c>
      <c r="C4197" s="2" t="str">
        <f>"B616KSSF"</f>
        <v>B616KSSF</v>
      </c>
      <c r="D4197" t="s">
        <v>4307</v>
      </c>
      <c r="E4197" t="s">
        <v>4</v>
      </c>
      <c r="F4197">
        <v>45.6</v>
      </c>
      <c r="G4197">
        <v>1.9</v>
      </c>
      <c r="H4197" t="s">
        <v>666</v>
      </c>
      <c r="I4197" s="1">
        <v>34.07</v>
      </c>
      <c r="J4197" s="1">
        <v>32.76</v>
      </c>
      <c r="K4197" t="s">
        <v>4227</v>
      </c>
      <c r="L4197" s="1">
        <v>36.04</v>
      </c>
    </row>
    <row r="4198" spans="1:12">
      <c r="A4198" t="s">
        <v>4225</v>
      </c>
      <c r="B4198">
        <v>389566</v>
      </c>
      <c r="C4198" s="2" t="str">
        <f>"B617KSSF"</f>
        <v>B617KSSF</v>
      </c>
      <c r="D4198" t="s">
        <v>4308</v>
      </c>
      <c r="E4198" t="s">
        <v>4</v>
      </c>
      <c r="F4198">
        <v>65</v>
      </c>
      <c r="G4198">
        <v>1.3</v>
      </c>
      <c r="H4198" t="s">
        <v>4309</v>
      </c>
      <c r="I4198" s="1">
        <v>13.86</v>
      </c>
      <c r="J4198" s="1">
        <v>13.33</v>
      </c>
      <c r="K4198" t="s">
        <v>1274</v>
      </c>
      <c r="L4198" s="1">
        <v>14.66</v>
      </c>
    </row>
    <row r="4199" spans="1:12">
      <c r="A4199" t="s">
        <v>4225</v>
      </c>
      <c r="B4199">
        <v>389567</v>
      </c>
      <c r="C4199" s="2" t="str">
        <f>"B618KSSF"</f>
        <v>B618KSSF</v>
      </c>
      <c r="D4199" t="s">
        <v>4310</v>
      </c>
      <c r="E4199" t="s">
        <v>4</v>
      </c>
      <c r="F4199">
        <v>40</v>
      </c>
      <c r="G4199">
        <v>0.8</v>
      </c>
      <c r="H4199" t="s">
        <v>4309</v>
      </c>
      <c r="I4199" s="1">
        <v>10.07</v>
      </c>
      <c r="J4199" s="1">
        <v>9.69</v>
      </c>
      <c r="K4199" t="s">
        <v>1274</v>
      </c>
      <c r="L4199" s="1">
        <v>10.65</v>
      </c>
    </row>
    <row r="4200" spans="1:12">
      <c r="A4200" t="s">
        <v>4225</v>
      </c>
      <c r="B4200">
        <v>389455</v>
      </c>
      <c r="C4200" s="2" t="str">
        <f>"B760FDNF"</f>
        <v>B760FDNF</v>
      </c>
      <c r="D4200" t="s">
        <v>4311</v>
      </c>
      <c r="E4200" t="s">
        <v>4</v>
      </c>
      <c r="F4200">
        <v>24.6</v>
      </c>
      <c r="G4200">
        <v>2.0499999999999998</v>
      </c>
      <c r="H4200" t="s">
        <v>106</v>
      </c>
      <c r="I4200" s="1">
        <v>25.94</v>
      </c>
      <c r="J4200" s="1">
        <v>25.39</v>
      </c>
      <c r="K4200" t="s">
        <v>4227</v>
      </c>
      <c r="L4200" s="1">
        <v>27.93</v>
      </c>
    </row>
    <row r="4201" spans="1:12">
      <c r="A4201" t="s">
        <v>4225</v>
      </c>
      <c r="B4201">
        <v>431611</v>
      </c>
      <c r="C4201" s="2" t="str">
        <f>"B760KPVF"</f>
        <v>B760KPVF</v>
      </c>
      <c r="D4201" t="s">
        <v>4312</v>
      </c>
      <c r="E4201" t="s">
        <v>4</v>
      </c>
      <c r="F4201">
        <v>31.32</v>
      </c>
      <c r="G4201">
        <v>5.22</v>
      </c>
      <c r="H4201" t="s">
        <v>20</v>
      </c>
      <c r="I4201" s="1">
        <v>47.05</v>
      </c>
      <c r="J4201" s="1">
        <v>46.06</v>
      </c>
      <c r="K4201" t="s">
        <v>4227</v>
      </c>
      <c r="L4201" s="1">
        <v>50.67</v>
      </c>
    </row>
    <row r="4202" spans="1:12">
      <c r="A4202" t="s">
        <v>4225</v>
      </c>
      <c r="B4202">
        <v>389460</v>
      </c>
      <c r="C4202" s="2" t="str">
        <f>"B760SBLF"</f>
        <v>B760SBLF</v>
      </c>
      <c r="D4202" t="s">
        <v>4313</v>
      </c>
      <c r="E4202" t="s">
        <v>4</v>
      </c>
      <c r="F4202">
        <v>24.96</v>
      </c>
      <c r="G4202">
        <v>2.08</v>
      </c>
      <c r="H4202" t="s">
        <v>106</v>
      </c>
      <c r="I4202" s="1">
        <v>25.94</v>
      </c>
      <c r="J4202" s="1">
        <v>25.39</v>
      </c>
      <c r="K4202" t="s">
        <v>4227</v>
      </c>
      <c r="L4202" s="1">
        <v>27.93</v>
      </c>
    </row>
    <row r="4203" spans="1:12">
      <c r="A4203" t="s">
        <v>4225</v>
      </c>
      <c r="B4203">
        <v>389461</v>
      </c>
      <c r="C4203" s="2" t="str">
        <f>"B760SDEF"</f>
        <v>B760SDEF</v>
      </c>
      <c r="D4203" t="s">
        <v>4314</v>
      </c>
      <c r="E4203" t="s">
        <v>4</v>
      </c>
      <c r="F4203">
        <v>27.24</v>
      </c>
      <c r="G4203">
        <v>2.27</v>
      </c>
      <c r="H4203" t="s">
        <v>106</v>
      </c>
      <c r="I4203" s="1">
        <v>25.94</v>
      </c>
      <c r="J4203" s="1">
        <v>25.39</v>
      </c>
      <c r="K4203" t="s">
        <v>4227</v>
      </c>
      <c r="L4203" s="1">
        <v>27.93</v>
      </c>
    </row>
    <row r="4204" spans="1:12">
      <c r="A4204" t="s">
        <v>4225</v>
      </c>
      <c r="B4204">
        <v>389462</v>
      </c>
      <c r="C4204" s="2" t="str">
        <f>"B760SITF"</f>
        <v>B760SITF</v>
      </c>
      <c r="D4204" t="s">
        <v>4315</v>
      </c>
      <c r="E4204" t="s">
        <v>4</v>
      </c>
      <c r="F4204">
        <v>31.08</v>
      </c>
      <c r="G4204">
        <v>2.59</v>
      </c>
      <c r="H4204" t="s">
        <v>106</v>
      </c>
      <c r="I4204" s="1">
        <v>25.94</v>
      </c>
      <c r="J4204" s="1">
        <v>25.39</v>
      </c>
      <c r="K4204" t="s">
        <v>4227</v>
      </c>
      <c r="L4204" s="1">
        <v>27.93</v>
      </c>
    </row>
    <row r="4205" spans="1:12">
      <c r="A4205" t="s">
        <v>4225</v>
      </c>
      <c r="B4205">
        <v>389463</v>
      </c>
      <c r="C4205" s="2" t="str">
        <f>"B760STSF"</f>
        <v>B760STSF</v>
      </c>
      <c r="D4205" t="s">
        <v>4316</v>
      </c>
      <c r="E4205" t="s">
        <v>4</v>
      </c>
      <c r="F4205">
        <v>22.2</v>
      </c>
      <c r="G4205">
        <v>1.85</v>
      </c>
      <c r="H4205" t="s">
        <v>106</v>
      </c>
      <c r="I4205" s="1">
        <v>20.75</v>
      </c>
      <c r="J4205" s="1">
        <v>20.309999999999999</v>
      </c>
      <c r="K4205" t="s">
        <v>4227</v>
      </c>
      <c r="L4205" s="1">
        <v>22.34</v>
      </c>
    </row>
    <row r="4206" spans="1:12">
      <c r="A4206" t="s">
        <v>4225</v>
      </c>
      <c r="B4206">
        <v>417779</v>
      </c>
      <c r="C4206" s="2" t="str">
        <f>"B763FDIF"</f>
        <v>B763FDIF</v>
      </c>
      <c r="D4206" t="s">
        <v>4317</v>
      </c>
      <c r="E4206" t="s">
        <v>4</v>
      </c>
      <c r="F4206">
        <v>59.4</v>
      </c>
      <c r="G4206">
        <v>3.3</v>
      </c>
      <c r="H4206" t="s">
        <v>4041</v>
      </c>
      <c r="I4206" s="1">
        <v>11.43</v>
      </c>
      <c r="J4206" s="1">
        <v>11.21</v>
      </c>
      <c r="K4206" t="s">
        <v>4227</v>
      </c>
      <c r="L4206" s="1">
        <v>12.33</v>
      </c>
    </row>
    <row r="4207" spans="1:12">
      <c r="A4207" t="s">
        <v>4225</v>
      </c>
      <c r="B4207">
        <v>389469</v>
      </c>
      <c r="C4207" s="2" t="str">
        <f>"B763KPVF"</f>
        <v>B763KPVF</v>
      </c>
      <c r="D4207" t="s">
        <v>4318</v>
      </c>
      <c r="E4207" t="s">
        <v>4</v>
      </c>
      <c r="F4207">
        <v>36</v>
      </c>
      <c r="G4207">
        <v>4.5</v>
      </c>
      <c r="H4207" t="s">
        <v>1456</v>
      </c>
      <c r="I4207" s="1">
        <v>21.79</v>
      </c>
      <c r="J4207" s="1">
        <v>21.38</v>
      </c>
      <c r="K4207" t="s">
        <v>4227</v>
      </c>
      <c r="L4207" s="1">
        <v>23.52</v>
      </c>
    </row>
    <row r="4208" spans="1:12">
      <c r="A4208" t="s">
        <v>4225</v>
      </c>
      <c r="B4208">
        <v>389470</v>
      </c>
      <c r="C4208" s="2" t="str">
        <f>"B763SBLF"</f>
        <v>B763SBLF</v>
      </c>
      <c r="D4208" t="s">
        <v>4319</v>
      </c>
      <c r="E4208" t="s">
        <v>4</v>
      </c>
      <c r="F4208">
        <v>34.92</v>
      </c>
      <c r="G4208">
        <v>1.94</v>
      </c>
      <c r="H4208" t="s">
        <v>4041</v>
      </c>
      <c r="I4208" s="1">
        <v>11.43</v>
      </c>
      <c r="J4208" s="1">
        <v>11.21</v>
      </c>
      <c r="K4208" t="s">
        <v>4227</v>
      </c>
      <c r="L4208" s="1">
        <v>12.33</v>
      </c>
    </row>
    <row r="4209" spans="1:12">
      <c r="A4209" t="s">
        <v>4225</v>
      </c>
      <c r="B4209">
        <v>427930</v>
      </c>
      <c r="C4209" s="2" t="str">
        <f>"B763SITF"</f>
        <v>B763SITF</v>
      </c>
      <c r="D4209" t="s">
        <v>4320</v>
      </c>
      <c r="E4209" t="s">
        <v>4</v>
      </c>
      <c r="F4209">
        <v>47.7</v>
      </c>
      <c r="G4209">
        <v>2.65</v>
      </c>
      <c r="H4209" t="s">
        <v>4041</v>
      </c>
      <c r="I4209" s="1">
        <v>11.43</v>
      </c>
      <c r="J4209" s="1">
        <v>11.21</v>
      </c>
      <c r="K4209" t="s">
        <v>4227</v>
      </c>
      <c r="L4209" s="1">
        <v>12.33</v>
      </c>
    </row>
    <row r="4210" spans="1:12">
      <c r="A4210" t="s">
        <v>4225</v>
      </c>
      <c r="B4210">
        <v>389471</v>
      </c>
      <c r="C4210" s="2" t="str">
        <f>"B763STSF"</f>
        <v>B763STSF</v>
      </c>
      <c r="D4210" t="s">
        <v>4321</v>
      </c>
      <c r="E4210" t="s">
        <v>4</v>
      </c>
      <c r="F4210">
        <v>32.04</v>
      </c>
      <c r="G4210">
        <v>1.78</v>
      </c>
      <c r="H4210" t="s">
        <v>4041</v>
      </c>
      <c r="I4210" s="1">
        <v>7.71</v>
      </c>
      <c r="J4210" s="1">
        <v>7.56</v>
      </c>
      <c r="K4210" t="s">
        <v>4227</v>
      </c>
      <c r="L4210" s="1">
        <v>8.32</v>
      </c>
    </row>
    <row r="4211" spans="1:12">
      <c r="A4211" t="s">
        <v>4225</v>
      </c>
      <c r="B4211">
        <v>389472</v>
      </c>
      <c r="C4211" s="2" t="str">
        <f>"B767FDNF"</f>
        <v>B767FDNF</v>
      </c>
      <c r="D4211" t="s">
        <v>4322</v>
      </c>
      <c r="E4211" t="s">
        <v>4</v>
      </c>
      <c r="F4211">
        <v>46.8</v>
      </c>
      <c r="G4211">
        <v>2.6</v>
      </c>
      <c r="H4211" t="s">
        <v>4041</v>
      </c>
      <c r="I4211" s="1">
        <v>11.43</v>
      </c>
      <c r="J4211" s="1">
        <v>11.21</v>
      </c>
      <c r="K4211" t="s">
        <v>4227</v>
      </c>
      <c r="L4211" s="1">
        <v>12.33</v>
      </c>
    </row>
    <row r="4212" spans="1:12">
      <c r="A4212" t="s">
        <v>4225</v>
      </c>
      <c r="B4212">
        <v>389473</v>
      </c>
      <c r="C4212" s="2" t="str">
        <f>"B767KPVF"</f>
        <v>B767KPVF</v>
      </c>
      <c r="D4212" t="s">
        <v>4323</v>
      </c>
      <c r="E4212" t="s">
        <v>4</v>
      </c>
      <c r="F4212">
        <v>36</v>
      </c>
      <c r="G4212">
        <v>4.5</v>
      </c>
      <c r="H4212" t="s">
        <v>1456</v>
      </c>
      <c r="I4212" s="1">
        <v>21.79</v>
      </c>
      <c r="J4212" s="1">
        <v>21.38</v>
      </c>
      <c r="K4212" t="s">
        <v>4227</v>
      </c>
      <c r="L4212" s="1">
        <v>23.52</v>
      </c>
    </row>
    <row r="4213" spans="1:12">
      <c r="A4213" t="s">
        <v>4225</v>
      </c>
      <c r="B4213">
        <v>389474</v>
      </c>
      <c r="C4213" s="2" t="str">
        <f>"B767SBLF"</f>
        <v>B767SBLF</v>
      </c>
      <c r="D4213" t="s">
        <v>4324</v>
      </c>
      <c r="E4213" t="s">
        <v>4</v>
      </c>
      <c r="F4213">
        <v>26.64</v>
      </c>
      <c r="G4213">
        <v>1.48</v>
      </c>
      <c r="H4213" t="s">
        <v>4041</v>
      </c>
      <c r="I4213" s="1">
        <v>11.43</v>
      </c>
      <c r="J4213" s="1">
        <v>11.21</v>
      </c>
      <c r="K4213" t="s">
        <v>4227</v>
      </c>
      <c r="L4213" s="1">
        <v>12.33</v>
      </c>
    </row>
    <row r="4214" spans="1:12">
      <c r="A4214" t="s">
        <v>4225</v>
      </c>
      <c r="B4214">
        <v>427933</v>
      </c>
      <c r="C4214" s="2" t="str">
        <f>"B767SITF"</f>
        <v>B767SITF</v>
      </c>
      <c r="D4214" t="s">
        <v>4325</v>
      </c>
      <c r="E4214" t="s">
        <v>4</v>
      </c>
      <c r="F4214">
        <v>35.64</v>
      </c>
      <c r="G4214">
        <v>1.98</v>
      </c>
      <c r="H4214" t="s">
        <v>4041</v>
      </c>
      <c r="I4214" s="1">
        <v>11.43</v>
      </c>
      <c r="J4214" s="1">
        <v>11.21</v>
      </c>
      <c r="K4214" t="s">
        <v>4227</v>
      </c>
      <c r="L4214" s="1">
        <v>12.33</v>
      </c>
    </row>
    <row r="4215" spans="1:12">
      <c r="A4215" t="s">
        <v>4225</v>
      </c>
      <c r="B4215">
        <v>389475</v>
      </c>
      <c r="C4215" s="2" t="str">
        <f>"B767STSF"</f>
        <v>B767STSF</v>
      </c>
      <c r="D4215" t="s">
        <v>4326</v>
      </c>
      <c r="E4215" t="s">
        <v>4</v>
      </c>
      <c r="F4215">
        <v>32.4</v>
      </c>
      <c r="G4215">
        <v>1.8</v>
      </c>
      <c r="H4215" t="s">
        <v>4041</v>
      </c>
      <c r="I4215" s="1">
        <v>7.71</v>
      </c>
      <c r="J4215" s="1">
        <v>7.56</v>
      </c>
      <c r="K4215" t="s">
        <v>4227</v>
      </c>
      <c r="L4215" s="1">
        <v>8.32</v>
      </c>
    </row>
    <row r="4216" spans="1:12">
      <c r="A4216" t="s">
        <v>4225</v>
      </c>
      <c r="B4216">
        <v>389569</v>
      </c>
      <c r="C4216" s="2" t="str">
        <f>"B770KSHH"</f>
        <v>B770KSHH</v>
      </c>
      <c r="D4216" t="s">
        <v>4327</v>
      </c>
      <c r="E4216" t="s">
        <v>4</v>
      </c>
      <c r="F4216">
        <v>48</v>
      </c>
      <c r="G4216">
        <v>1.92</v>
      </c>
      <c r="H4216" t="s">
        <v>4328</v>
      </c>
      <c r="I4216" s="1">
        <v>69.36</v>
      </c>
      <c r="J4216" s="1">
        <v>66.69</v>
      </c>
      <c r="K4216" t="s">
        <v>1274</v>
      </c>
      <c r="L4216" s="1">
        <v>73.36</v>
      </c>
    </row>
    <row r="4217" spans="1:12">
      <c r="A4217" t="s">
        <v>4225</v>
      </c>
      <c r="B4217">
        <v>389571</v>
      </c>
      <c r="C4217" s="2" t="str">
        <f>"B770KSSG"</f>
        <v>B770KSSG</v>
      </c>
      <c r="D4217" t="s">
        <v>4329</v>
      </c>
      <c r="E4217" t="s">
        <v>4</v>
      </c>
      <c r="F4217">
        <v>45</v>
      </c>
      <c r="G4217">
        <v>1.8</v>
      </c>
      <c r="H4217" t="s">
        <v>4328</v>
      </c>
      <c r="I4217" s="1">
        <v>32.72</v>
      </c>
      <c r="J4217" s="1">
        <v>31.46</v>
      </c>
      <c r="K4217" t="s">
        <v>1274</v>
      </c>
      <c r="L4217" s="1">
        <v>34.61</v>
      </c>
    </row>
    <row r="4218" spans="1:12">
      <c r="A4218" t="s">
        <v>4225</v>
      </c>
      <c r="B4218">
        <v>389575</v>
      </c>
      <c r="C4218" s="2" t="str">
        <f>"B770KSSJ"</f>
        <v>B770KSSJ</v>
      </c>
      <c r="D4218" t="s">
        <v>4330</v>
      </c>
      <c r="E4218" t="s">
        <v>4</v>
      </c>
      <c r="F4218">
        <v>42</v>
      </c>
      <c r="G4218">
        <v>0.84</v>
      </c>
      <c r="H4218" t="s">
        <v>4309</v>
      </c>
      <c r="I4218" s="1">
        <v>27.04</v>
      </c>
      <c r="J4218" s="1">
        <v>26</v>
      </c>
      <c r="K4218" t="s">
        <v>1274</v>
      </c>
      <c r="L4218" s="1">
        <v>28.6</v>
      </c>
    </row>
    <row r="4219" spans="1:12">
      <c r="A4219" t="s">
        <v>4225</v>
      </c>
      <c r="B4219">
        <v>389573</v>
      </c>
      <c r="C4219" s="2" t="str">
        <f>"B770KSSK"</f>
        <v>B770KSSK</v>
      </c>
      <c r="D4219" t="s">
        <v>4331</v>
      </c>
      <c r="E4219" t="s">
        <v>4</v>
      </c>
      <c r="F4219">
        <v>53</v>
      </c>
      <c r="G4219">
        <v>2.12</v>
      </c>
      <c r="H4219" t="s">
        <v>4328</v>
      </c>
      <c r="I4219" s="1">
        <v>51.38</v>
      </c>
      <c r="J4219" s="1">
        <v>49.4</v>
      </c>
      <c r="K4219" t="s">
        <v>1274</v>
      </c>
      <c r="L4219" s="1">
        <v>54.34</v>
      </c>
    </row>
    <row r="4220" spans="1:12">
      <c r="A4220" t="s">
        <v>4225</v>
      </c>
      <c r="B4220">
        <v>419846</v>
      </c>
      <c r="C4220" s="2" t="str">
        <f>"B770KSSN"</f>
        <v>B770KSSN</v>
      </c>
      <c r="D4220" t="s">
        <v>4332</v>
      </c>
      <c r="E4220" t="s">
        <v>4</v>
      </c>
      <c r="F4220">
        <v>45</v>
      </c>
      <c r="G4220">
        <v>1.8</v>
      </c>
      <c r="H4220" t="s">
        <v>4328</v>
      </c>
      <c r="I4220" s="1">
        <v>78.75</v>
      </c>
      <c r="J4220" s="1">
        <v>75.73</v>
      </c>
      <c r="K4220" t="s">
        <v>1274</v>
      </c>
      <c r="L4220" s="1">
        <v>83.3</v>
      </c>
    </row>
    <row r="4221" spans="1:12">
      <c r="A4221" t="s">
        <v>4225</v>
      </c>
      <c r="B4221">
        <v>389616</v>
      </c>
      <c r="C4221" s="2" t="str">
        <f>"B817FDNF"</f>
        <v>B817FDNF</v>
      </c>
      <c r="D4221" t="s">
        <v>4333</v>
      </c>
      <c r="E4221" t="s">
        <v>4</v>
      </c>
      <c r="F4221">
        <v>36.72</v>
      </c>
      <c r="G4221">
        <v>3.06</v>
      </c>
      <c r="H4221" t="s">
        <v>106</v>
      </c>
      <c r="I4221" s="1">
        <v>32.42</v>
      </c>
      <c r="J4221" s="1">
        <v>31.74</v>
      </c>
      <c r="K4221" t="s">
        <v>4227</v>
      </c>
      <c r="L4221" s="1">
        <v>34.909999999999997</v>
      </c>
    </row>
    <row r="4222" spans="1:12">
      <c r="A4222" t="s">
        <v>4225</v>
      </c>
      <c r="B4222">
        <v>389482</v>
      </c>
      <c r="C4222" s="2" t="str">
        <f>"B817FDNG"</f>
        <v>B817FDNG</v>
      </c>
      <c r="D4222" t="s">
        <v>4334</v>
      </c>
      <c r="E4222" t="s">
        <v>4</v>
      </c>
      <c r="F4222">
        <v>36.72</v>
      </c>
      <c r="G4222">
        <v>3.06</v>
      </c>
      <c r="H4222" t="s">
        <v>106</v>
      </c>
      <c r="I4222" s="1">
        <v>32.42</v>
      </c>
      <c r="J4222" s="1">
        <v>31.74</v>
      </c>
      <c r="K4222" t="s">
        <v>4227</v>
      </c>
      <c r="L4222" s="1">
        <v>34.909999999999997</v>
      </c>
    </row>
    <row r="4223" spans="1:12">
      <c r="A4223" t="s">
        <v>4225</v>
      </c>
      <c r="B4223">
        <v>389617</v>
      </c>
      <c r="C4223" s="2" t="str">
        <f>"B817FOYF"</f>
        <v>B817FOYF</v>
      </c>
      <c r="D4223" t="s">
        <v>4335</v>
      </c>
      <c r="E4223" t="s">
        <v>4</v>
      </c>
      <c r="F4223">
        <v>20.399999999999999</v>
      </c>
      <c r="G4223">
        <v>1.7</v>
      </c>
      <c r="H4223" t="s">
        <v>106</v>
      </c>
      <c r="I4223" s="1">
        <v>32.42</v>
      </c>
      <c r="J4223" s="1">
        <v>31.74</v>
      </c>
      <c r="K4223" t="s">
        <v>4227</v>
      </c>
      <c r="L4223" s="1">
        <v>34.909999999999997</v>
      </c>
    </row>
    <row r="4224" spans="1:12">
      <c r="A4224" t="s">
        <v>4225</v>
      </c>
      <c r="B4224">
        <v>389483</v>
      </c>
      <c r="C4224" s="2" t="str">
        <f>"B817FSLG"</f>
        <v>B817FSLG</v>
      </c>
      <c r="D4224" t="s">
        <v>4336</v>
      </c>
      <c r="E4224" t="s">
        <v>4</v>
      </c>
      <c r="F4224">
        <v>25.2</v>
      </c>
      <c r="G4224">
        <v>2.1</v>
      </c>
      <c r="H4224" t="s">
        <v>106</v>
      </c>
      <c r="I4224" s="1">
        <v>32.42</v>
      </c>
      <c r="J4224" s="1">
        <v>31.74</v>
      </c>
      <c r="K4224" t="s">
        <v>4227</v>
      </c>
      <c r="L4224" s="1">
        <v>34.909999999999997</v>
      </c>
    </row>
    <row r="4225" spans="1:12">
      <c r="A4225" t="s">
        <v>4225</v>
      </c>
      <c r="B4225">
        <v>389625</v>
      </c>
      <c r="C4225" s="2" t="str">
        <f>"B817KPVF"</f>
        <v>B817KPVF</v>
      </c>
      <c r="D4225" t="s">
        <v>4337</v>
      </c>
      <c r="E4225" t="s">
        <v>4</v>
      </c>
      <c r="F4225">
        <v>35.82</v>
      </c>
      <c r="G4225">
        <v>5.97</v>
      </c>
      <c r="H4225" t="s">
        <v>20</v>
      </c>
      <c r="I4225" s="1">
        <v>62.43</v>
      </c>
      <c r="J4225" s="1">
        <v>61.12</v>
      </c>
      <c r="K4225" t="s">
        <v>4227</v>
      </c>
      <c r="L4225" s="1">
        <v>67.23</v>
      </c>
    </row>
    <row r="4226" spans="1:12">
      <c r="A4226" t="s">
        <v>4225</v>
      </c>
      <c r="B4226">
        <v>389619</v>
      </c>
      <c r="C4226" s="2" t="str">
        <f>"B817KPWF"</f>
        <v>B817KPWF</v>
      </c>
      <c r="D4226" t="s">
        <v>4338</v>
      </c>
      <c r="E4226" t="s">
        <v>4</v>
      </c>
      <c r="F4226">
        <v>33</v>
      </c>
      <c r="G4226">
        <v>5.5</v>
      </c>
      <c r="H4226" t="s">
        <v>20</v>
      </c>
      <c r="I4226" s="1">
        <v>137.83000000000001</v>
      </c>
      <c r="J4226" s="1">
        <v>134.91999999999999</v>
      </c>
      <c r="K4226" t="s">
        <v>4227</v>
      </c>
      <c r="L4226" s="1">
        <v>148.41999999999999</v>
      </c>
    </row>
    <row r="4227" spans="1:12">
      <c r="A4227" t="s">
        <v>4225</v>
      </c>
      <c r="B4227">
        <v>389624</v>
      </c>
      <c r="C4227" s="2" t="str">
        <f>"B817KSHF"</f>
        <v>B817KSHF</v>
      </c>
      <c r="D4227" t="s">
        <v>4339</v>
      </c>
      <c r="E4227" t="s">
        <v>4</v>
      </c>
      <c r="F4227">
        <v>31.5</v>
      </c>
      <c r="G4227">
        <v>5.25</v>
      </c>
      <c r="H4227" t="s">
        <v>20</v>
      </c>
      <c r="I4227" s="1">
        <v>137.83000000000001</v>
      </c>
      <c r="J4227" s="1">
        <v>134.91999999999999</v>
      </c>
      <c r="K4227" t="s">
        <v>4227</v>
      </c>
      <c r="L4227" s="1">
        <v>148.41999999999999</v>
      </c>
    </row>
    <row r="4228" spans="1:12">
      <c r="A4228" t="s">
        <v>4225</v>
      </c>
      <c r="B4228">
        <v>389620</v>
      </c>
      <c r="C4228" s="2" t="str">
        <f>"B817SBLF"</f>
        <v>B817SBLF</v>
      </c>
      <c r="D4228" t="s">
        <v>4340</v>
      </c>
      <c r="E4228" t="s">
        <v>4</v>
      </c>
      <c r="F4228">
        <v>28.32</v>
      </c>
      <c r="G4228">
        <v>2.36</v>
      </c>
      <c r="H4228" t="s">
        <v>106</v>
      </c>
      <c r="I4228" s="1">
        <v>32.42</v>
      </c>
      <c r="J4228" s="1">
        <v>31.74</v>
      </c>
      <c r="K4228" t="s">
        <v>4227</v>
      </c>
      <c r="L4228" s="1">
        <v>34.909999999999997</v>
      </c>
    </row>
    <row r="4229" spans="1:12">
      <c r="A4229" t="s">
        <v>4225</v>
      </c>
      <c r="B4229">
        <v>389621</v>
      </c>
      <c r="C4229" s="2" t="str">
        <f>"B817SITF"</f>
        <v>B817SITF</v>
      </c>
      <c r="D4229" t="s">
        <v>4341</v>
      </c>
      <c r="E4229" t="s">
        <v>4</v>
      </c>
      <c r="F4229">
        <v>24.96</v>
      </c>
      <c r="G4229">
        <v>2.08</v>
      </c>
      <c r="H4229" t="s">
        <v>106</v>
      </c>
      <c r="I4229" s="1">
        <v>32.42</v>
      </c>
      <c r="J4229" s="1">
        <v>31.74</v>
      </c>
      <c r="K4229" t="s">
        <v>4227</v>
      </c>
      <c r="L4229" s="1">
        <v>34.909999999999997</v>
      </c>
    </row>
    <row r="4230" spans="1:12">
      <c r="A4230" t="s">
        <v>4225</v>
      </c>
      <c r="B4230">
        <v>389622</v>
      </c>
      <c r="C4230" s="2" t="str">
        <f>"B817SPLF"</f>
        <v>B817SPLF</v>
      </c>
      <c r="D4230" t="s">
        <v>4342</v>
      </c>
      <c r="E4230" t="s">
        <v>4</v>
      </c>
      <c r="F4230">
        <v>32.4</v>
      </c>
      <c r="G4230">
        <v>2.7</v>
      </c>
      <c r="H4230" t="s">
        <v>106</v>
      </c>
      <c r="I4230" s="1">
        <v>32.42</v>
      </c>
      <c r="J4230" s="1">
        <v>31.74</v>
      </c>
      <c r="K4230" t="s">
        <v>4227</v>
      </c>
      <c r="L4230" s="1">
        <v>34.909999999999997</v>
      </c>
    </row>
    <row r="4231" spans="1:12">
      <c r="A4231" t="s">
        <v>4225</v>
      </c>
      <c r="B4231">
        <v>389623</v>
      </c>
      <c r="C4231" s="2" t="str">
        <f>"B817STSF"</f>
        <v>B817STSF</v>
      </c>
      <c r="D4231" t="s">
        <v>4343</v>
      </c>
      <c r="E4231" t="s">
        <v>4</v>
      </c>
      <c r="F4231">
        <v>31.08</v>
      </c>
      <c r="G4231">
        <v>2.59</v>
      </c>
      <c r="H4231" t="s">
        <v>106</v>
      </c>
      <c r="I4231" s="1">
        <v>22.6</v>
      </c>
      <c r="J4231" s="1">
        <v>22.12</v>
      </c>
      <c r="K4231" t="s">
        <v>4227</v>
      </c>
      <c r="L4231" s="1">
        <v>24.34</v>
      </c>
    </row>
    <row r="4232" spans="1:12">
      <c r="A4232" t="s">
        <v>4225</v>
      </c>
      <c r="B4232">
        <v>424871</v>
      </c>
      <c r="C4232" s="2" t="str">
        <f>"B990FDNF"</f>
        <v>B990FDNF</v>
      </c>
      <c r="D4232" t="s">
        <v>4344</v>
      </c>
      <c r="E4232" t="s">
        <v>4</v>
      </c>
      <c r="F4232">
        <v>2.75</v>
      </c>
      <c r="H4232" t="s">
        <v>5</v>
      </c>
      <c r="I4232" s="1">
        <v>130.19999999999999</v>
      </c>
      <c r="J4232" s="1">
        <v>125.19</v>
      </c>
      <c r="K4232" t="s">
        <v>6</v>
      </c>
    </row>
    <row r="4233" spans="1:12">
      <c r="A4233" t="s">
        <v>4225</v>
      </c>
      <c r="B4233">
        <v>389129</v>
      </c>
      <c r="C4233" s="2" t="str">
        <f>"F2500000117"</f>
        <v>F2500000117</v>
      </c>
      <c r="D4233" t="s">
        <v>4345</v>
      </c>
      <c r="E4233" t="s">
        <v>4</v>
      </c>
      <c r="F4233">
        <v>22.3</v>
      </c>
      <c r="H4233" t="s">
        <v>5</v>
      </c>
      <c r="I4233" s="1">
        <v>120.46</v>
      </c>
      <c r="J4233" s="1">
        <v>115.83</v>
      </c>
      <c r="K4233" t="s">
        <v>6</v>
      </c>
    </row>
    <row r="4234" spans="1:12">
      <c r="A4234" t="s">
        <v>4225</v>
      </c>
      <c r="B4234">
        <v>389097</v>
      </c>
      <c r="C4234" s="2" t="str">
        <f>"R4170000560"</f>
        <v>R4170000560</v>
      </c>
      <c r="D4234" t="s">
        <v>4346</v>
      </c>
      <c r="E4234" t="s">
        <v>4</v>
      </c>
      <c r="F4234">
        <v>29</v>
      </c>
      <c r="H4234" t="s">
        <v>5</v>
      </c>
      <c r="I4234" s="1">
        <v>82.54</v>
      </c>
      <c r="J4234" s="1">
        <v>79.37</v>
      </c>
      <c r="K4234" t="s">
        <v>6</v>
      </c>
    </row>
    <row r="4235" spans="1:12">
      <c r="A4235" t="s">
        <v>4225</v>
      </c>
      <c r="B4235">
        <v>369043</v>
      </c>
      <c r="C4235" s="2" t="str">
        <f>"R4178102560"</f>
        <v>R4178102560</v>
      </c>
      <c r="D4235" t="s">
        <v>4347</v>
      </c>
      <c r="E4235" t="s">
        <v>4</v>
      </c>
      <c r="F4235">
        <v>37.6</v>
      </c>
      <c r="H4235" t="s">
        <v>5</v>
      </c>
      <c r="I4235" s="1">
        <v>135.06</v>
      </c>
      <c r="J4235" s="1">
        <v>129.87</v>
      </c>
      <c r="K4235" t="s">
        <v>6</v>
      </c>
    </row>
    <row r="4236" spans="1:12">
      <c r="A4236" t="s">
        <v>4225</v>
      </c>
      <c r="B4236">
        <v>388816</v>
      </c>
      <c r="C4236" s="2" t="str">
        <f>"R4470000111"</f>
        <v>R4470000111</v>
      </c>
      <c r="D4236" t="s">
        <v>4348</v>
      </c>
      <c r="E4236" t="s">
        <v>4</v>
      </c>
      <c r="F4236">
        <v>18.899999999999999</v>
      </c>
      <c r="H4236" t="s">
        <v>5</v>
      </c>
      <c r="I4236" s="1">
        <v>26.39</v>
      </c>
      <c r="J4236" s="1">
        <v>25.62</v>
      </c>
      <c r="K4236" t="s">
        <v>6</v>
      </c>
    </row>
    <row r="4237" spans="1:12">
      <c r="A4237" t="s">
        <v>4225</v>
      </c>
      <c r="B4237">
        <v>388810</v>
      </c>
      <c r="C4237" s="2" t="str">
        <f>"R4470000119"</f>
        <v>R4470000119</v>
      </c>
      <c r="D4237" t="s">
        <v>4349</v>
      </c>
      <c r="E4237" t="s">
        <v>4</v>
      </c>
      <c r="F4237">
        <v>23.4</v>
      </c>
      <c r="H4237" t="s">
        <v>5</v>
      </c>
      <c r="I4237" s="1">
        <v>36.68</v>
      </c>
      <c r="J4237" s="1">
        <v>35.61</v>
      </c>
      <c r="K4237" t="s">
        <v>6</v>
      </c>
    </row>
    <row r="4238" spans="1:12">
      <c r="A4238" t="s">
        <v>4225</v>
      </c>
      <c r="B4238">
        <v>430190</v>
      </c>
      <c r="C4238" s="2" t="str">
        <f>"R4470000119C"</f>
        <v>R4470000119C</v>
      </c>
      <c r="D4238" t="s">
        <v>4350</v>
      </c>
      <c r="E4238" t="s">
        <v>4</v>
      </c>
      <c r="F4238">
        <v>24</v>
      </c>
      <c r="H4238" t="s">
        <v>5</v>
      </c>
      <c r="I4238" s="1">
        <v>45.71</v>
      </c>
      <c r="J4238" s="1">
        <v>44.38</v>
      </c>
      <c r="K4238" t="s">
        <v>6</v>
      </c>
    </row>
    <row r="4239" spans="1:12">
      <c r="A4239" t="s">
        <v>4225</v>
      </c>
      <c r="B4239">
        <v>388814</v>
      </c>
      <c r="C4239" s="2" t="str">
        <f>"R4470000125"</f>
        <v>R4470000125</v>
      </c>
      <c r="D4239" t="s">
        <v>4351</v>
      </c>
      <c r="E4239" t="s">
        <v>4</v>
      </c>
      <c r="F4239">
        <v>29.2</v>
      </c>
      <c r="H4239" t="s">
        <v>5</v>
      </c>
      <c r="I4239" s="1">
        <v>46.28</v>
      </c>
      <c r="J4239" s="1">
        <v>44.93</v>
      </c>
      <c r="K4239" t="s">
        <v>6</v>
      </c>
    </row>
    <row r="4240" spans="1:12">
      <c r="A4240" t="s">
        <v>4225</v>
      </c>
      <c r="B4240">
        <v>430159</v>
      </c>
      <c r="C4240" s="2" t="str">
        <f>"R4470000133"</f>
        <v>R4470000133</v>
      </c>
      <c r="D4240" t="s">
        <v>4352</v>
      </c>
      <c r="E4240" t="s">
        <v>4</v>
      </c>
      <c r="F4240">
        <v>27.4</v>
      </c>
      <c r="H4240" t="s">
        <v>5</v>
      </c>
      <c r="I4240" s="1">
        <v>49.14</v>
      </c>
      <c r="J4240" s="1">
        <v>47.71</v>
      </c>
      <c r="K4240" t="s">
        <v>6</v>
      </c>
    </row>
    <row r="4241" spans="1:11">
      <c r="A4241" t="s">
        <v>4225</v>
      </c>
      <c r="B4241">
        <v>388818</v>
      </c>
      <c r="C4241" s="2" t="str">
        <f>"R4470000139"</f>
        <v>R4470000139</v>
      </c>
      <c r="D4241" t="s">
        <v>4353</v>
      </c>
      <c r="E4241" t="s">
        <v>4</v>
      </c>
      <c r="F4241">
        <v>32.9</v>
      </c>
      <c r="H4241" t="s">
        <v>5</v>
      </c>
      <c r="I4241" s="1">
        <v>47.49</v>
      </c>
      <c r="J4241" s="1">
        <v>46.11</v>
      </c>
      <c r="K4241" t="s">
        <v>6</v>
      </c>
    </row>
    <row r="4242" spans="1:11">
      <c r="A4242" t="s">
        <v>4225</v>
      </c>
      <c r="B4242">
        <v>388808</v>
      </c>
      <c r="C4242" s="2" t="str">
        <f>"R4470000143"</f>
        <v>R4470000143</v>
      </c>
      <c r="D4242" t="s">
        <v>4354</v>
      </c>
      <c r="E4242" t="s">
        <v>4</v>
      </c>
      <c r="F4242">
        <v>39.299999999999997</v>
      </c>
      <c r="H4242" t="s">
        <v>5</v>
      </c>
      <c r="I4242" s="1">
        <v>48.83</v>
      </c>
      <c r="J4242" s="1">
        <v>47.41</v>
      </c>
      <c r="K4242" t="s">
        <v>6</v>
      </c>
    </row>
    <row r="4243" spans="1:11">
      <c r="A4243" t="s">
        <v>4225</v>
      </c>
      <c r="B4243">
        <v>398975</v>
      </c>
      <c r="C4243" s="2" t="str">
        <f>"R4470000147"</f>
        <v>R4470000147</v>
      </c>
      <c r="D4243" t="s">
        <v>4355</v>
      </c>
      <c r="E4243" t="s">
        <v>4</v>
      </c>
      <c r="F4243">
        <v>43.7</v>
      </c>
      <c r="H4243" t="s">
        <v>5</v>
      </c>
      <c r="I4243" s="1">
        <v>80.59</v>
      </c>
      <c r="J4243" s="1">
        <v>78.25</v>
      </c>
      <c r="K4243" t="s">
        <v>6</v>
      </c>
    </row>
    <row r="4244" spans="1:11">
      <c r="A4244" t="s">
        <v>4225</v>
      </c>
      <c r="B4244">
        <v>388824</v>
      </c>
      <c r="C4244" s="2" t="str">
        <f>"R4470000151"</f>
        <v>R4470000151</v>
      </c>
      <c r="D4244" t="s">
        <v>4356</v>
      </c>
      <c r="E4244" t="s">
        <v>4</v>
      </c>
      <c r="F4244">
        <v>25</v>
      </c>
      <c r="H4244" t="s">
        <v>5</v>
      </c>
      <c r="I4244" s="1">
        <v>40.130000000000003</v>
      </c>
      <c r="J4244" s="1">
        <v>38.96</v>
      </c>
      <c r="K4244" t="s">
        <v>6</v>
      </c>
    </row>
    <row r="4245" spans="1:11">
      <c r="A4245" t="s">
        <v>4225</v>
      </c>
      <c r="B4245">
        <v>430193</v>
      </c>
      <c r="C4245" s="2" t="str">
        <f>"R4470000151C"</f>
        <v>R4470000151C</v>
      </c>
      <c r="D4245" t="s">
        <v>4357</v>
      </c>
      <c r="E4245" t="s">
        <v>4</v>
      </c>
      <c r="F4245">
        <v>24.8</v>
      </c>
      <c r="H4245" t="s">
        <v>5</v>
      </c>
      <c r="I4245" s="1">
        <v>52.81</v>
      </c>
      <c r="J4245" s="1">
        <v>51.27</v>
      </c>
      <c r="K4245" t="s">
        <v>6</v>
      </c>
    </row>
    <row r="4246" spans="1:11">
      <c r="A4246" t="s">
        <v>4225</v>
      </c>
      <c r="B4246">
        <v>388811</v>
      </c>
      <c r="C4246" s="2" t="str">
        <f>"R4470000347"</f>
        <v>R4470000347</v>
      </c>
      <c r="D4246" t="s">
        <v>4358</v>
      </c>
      <c r="E4246" t="s">
        <v>4</v>
      </c>
      <c r="F4246">
        <v>16</v>
      </c>
      <c r="H4246" t="s">
        <v>5</v>
      </c>
      <c r="I4246" s="1">
        <v>38.96</v>
      </c>
      <c r="J4246" s="1">
        <v>37.83</v>
      </c>
      <c r="K4246" t="s">
        <v>6</v>
      </c>
    </row>
    <row r="4247" spans="1:11">
      <c r="A4247" t="s">
        <v>4225</v>
      </c>
      <c r="B4247">
        <v>388809</v>
      </c>
      <c r="C4247" s="2" t="str">
        <f>"R4470000359"</f>
        <v>R4470000359</v>
      </c>
      <c r="D4247" t="s">
        <v>4359</v>
      </c>
      <c r="E4247" t="s">
        <v>4</v>
      </c>
      <c r="F4247">
        <v>22.5</v>
      </c>
      <c r="H4247" t="s">
        <v>5</v>
      </c>
      <c r="I4247" s="1">
        <v>38.26</v>
      </c>
      <c r="J4247" s="1">
        <v>37.14</v>
      </c>
      <c r="K4247" t="s">
        <v>6</v>
      </c>
    </row>
    <row r="4248" spans="1:11">
      <c r="A4248" t="s">
        <v>4225</v>
      </c>
      <c r="B4248">
        <v>430195</v>
      </c>
      <c r="C4248" s="2" t="str">
        <f>"R4470000359C"</f>
        <v>R4470000359C</v>
      </c>
      <c r="D4248" t="s">
        <v>4360</v>
      </c>
      <c r="E4248" t="s">
        <v>4</v>
      </c>
      <c r="F4248">
        <v>20</v>
      </c>
      <c r="H4248" t="s">
        <v>5</v>
      </c>
      <c r="I4248" s="1">
        <v>66.16</v>
      </c>
      <c r="J4248" s="1">
        <v>64.23</v>
      </c>
      <c r="K4248" t="s">
        <v>6</v>
      </c>
    </row>
    <row r="4249" spans="1:11">
      <c r="A4249" t="s">
        <v>4225</v>
      </c>
      <c r="B4249">
        <v>388825</v>
      </c>
      <c r="C4249" s="2" t="str">
        <f>"R4470000371"</f>
        <v>R4470000371</v>
      </c>
      <c r="D4249" t="s">
        <v>4361</v>
      </c>
      <c r="E4249" t="s">
        <v>4</v>
      </c>
      <c r="F4249">
        <v>29.8</v>
      </c>
      <c r="H4249" t="s">
        <v>5</v>
      </c>
      <c r="I4249" s="1">
        <v>78.44</v>
      </c>
      <c r="J4249" s="1">
        <v>76.150000000000006</v>
      </c>
      <c r="K4249" t="s">
        <v>6</v>
      </c>
    </row>
    <row r="4250" spans="1:11">
      <c r="A4250" t="s">
        <v>4225</v>
      </c>
      <c r="B4250">
        <v>388812</v>
      </c>
      <c r="C4250" s="2" t="str">
        <f>"R4470000711"</f>
        <v>R4470000711</v>
      </c>
      <c r="D4250" t="s">
        <v>4362</v>
      </c>
      <c r="E4250" t="s">
        <v>4</v>
      </c>
      <c r="F4250">
        <v>15</v>
      </c>
      <c r="H4250" t="s">
        <v>5</v>
      </c>
      <c r="I4250" s="1">
        <v>28.76</v>
      </c>
      <c r="J4250" s="1">
        <v>27.92</v>
      </c>
      <c r="K4250" t="s">
        <v>6</v>
      </c>
    </row>
    <row r="4251" spans="1:11">
      <c r="A4251" t="s">
        <v>4225</v>
      </c>
      <c r="B4251">
        <v>430198</v>
      </c>
      <c r="C4251" s="2" t="str">
        <f>"R4470000711C"</f>
        <v>R4470000711C</v>
      </c>
      <c r="D4251" t="s">
        <v>4363</v>
      </c>
      <c r="E4251" t="s">
        <v>4</v>
      </c>
      <c r="F4251">
        <v>15</v>
      </c>
      <c r="H4251" t="s">
        <v>5</v>
      </c>
      <c r="I4251" s="1">
        <v>31.01</v>
      </c>
      <c r="J4251" s="1">
        <v>30.11</v>
      </c>
      <c r="K4251" t="s">
        <v>6</v>
      </c>
    </row>
    <row r="4252" spans="1:11">
      <c r="A4252" t="s">
        <v>4225</v>
      </c>
      <c r="B4252">
        <v>388826</v>
      </c>
      <c r="C4252" s="2" t="str">
        <f>"R4480000111"</f>
        <v>R4480000111</v>
      </c>
      <c r="D4252" t="s">
        <v>4364</v>
      </c>
      <c r="E4252" t="s">
        <v>4</v>
      </c>
      <c r="F4252">
        <v>14.8</v>
      </c>
      <c r="H4252" t="s">
        <v>5</v>
      </c>
      <c r="I4252" s="1">
        <v>26.59</v>
      </c>
      <c r="J4252" s="1">
        <v>25.82</v>
      </c>
      <c r="K4252" t="s">
        <v>6</v>
      </c>
    </row>
    <row r="4253" spans="1:11">
      <c r="A4253" t="s">
        <v>4225</v>
      </c>
      <c r="B4253">
        <v>388616</v>
      </c>
      <c r="C4253" s="2" t="str">
        <f>"R4480000117"</f>
        <v>R4480000117</v>
      </c>
      <c r="D4253" t="s">
        <v>4365</v>
      </c>
      <c r="E4253" t="s">
        <v>4</v>
      </c>
      <c r="F4253">
        <v>19</v>
      </c>
      <c r="H4253" t="s">
        <v>5</v>
      </c>
      <c r="I4253" s="1">
        <v>30.01</v>
      </c>
      <c r="J4253" s="1">
        <v>29.13</v>
      </c>
      <c r="K4253" t="s">
        <v>6</v>
      </c>
    </row>
    <row r="4254" spans="1:11">
      <c r="A4254" t="s">
        <v>4225</v>
      </c>
      <c r="B4254">
        <v>388617</v>
      </c>
      <c r="C4254" s="2" t="str">
        <f>"R4480000127"</f>
        <v>R4480000127</v>
      </c>
      <c r="D4254" t="s">
        <v>4366</v>
      </c>
      <c r="E4254" t="s">
        <v>4</v>
      </c>
      <c r="F4254">
        <v>27.8</v>
      </c>
      <c r="H4254" t="s">
        <v>5</v>
      </c>
      <c r="I4254" s="1">
        <v>45.71</v>
      </c>
      <c r="J4254" s="1">
        <v>44.38</v>
      </c>
      <c r="K4254" t="s">
        <v>6</v>
      </c>
    </row>
    <row r="4255" spans="1:11">
      <c r="A4255" t="s">
        <v>4225</v>
      </c>
      <c r="B4255">
        <v>388827</v>
      </c>
      <c r="C4255" s="2" t="str">
        <f>"R4480000139"</f>
        <v>R4480000139</v>
      </c>
      <c r="D4255" t="s">
        <v>4367</v>
      </c>
      <c r="E4255" t="s">
        <v>4</v>
      </c>
      <c r="F4255">
        <v>31.3</v>
      </c>
      <c r="H4255" t="s">
        <v>5</v>
      </c>
      <c r="I4255" s="1">
        <v>49.74</v>
      </c>
      <c r="J4255" s="1">
        <v>48.3</v>
      </c>
      <c r="K4255" t="s">
        <v>6</v>
      </c>
    </row>
    <row r="4256" spans="1:11">
      <c r="A4256" t="s">
        <v>4225</v>
      </c>
      <c r="B4256">
        <v>388828</v>
      </c>
      <c r="C4256" s="2" t="str">
        <f>"R4480000143"</f>
        <v>R4480000143</v>
      </c>
      <c r="D4256" t="s">
        <v>4368</v>
      </c>
      <c r="E4256" t="s">
        <v>4</v>
      </c>
      <c r="F4256">
        <v>37.299999999999997</v>
      </c>
      <c r="H4256" t="s">
        <v>5</v>
      </c>
      <c r="I4256" s="1">
        <v>56.97</v>
      </c>
      <c r="J4256" s="1">
        <v>55.32</v>
      </c>
      <c r="K4256" t="s">
        <v>6</v>
      </c>
    </row>
    <row r="4257" spans="1:11">
      <c r="A4257" t="s">
        <v>4225</v>
      </c>
      <c r="B4257">
        <v>388618</v>
      </c>
      <c r="C4257" s="2" t="str">
        <f>"R4480000151"</f>
        <v>R4480000151</v>
      </c>
      <c r="D4257" t="s">
        <v>4369</v>
      </c>
      <c r="E4257" t="s">
        <v>4</v>
      </c>
      <c r="F4257">
        <v>22.9</v>
      </c>
      <c r="H4257" t="s">
        <v>5</v>
      </c>
      <c r="I4257" s="1">
        <v>32.28</v>
      </c>
      <c r="J4257" s="1">
        <v>31.34</v>
      </c>
      <c r="K4257" t="s">
        <v>6</v>
      </c>
    </row>
    <row r="4258" spans="1:11">
      <c r="A4258" t="s">
        <v>4225</v>
      </c>
      <c r="B4258">
        <v>388619</v>
      </c>
      <c r="C4258" s="2" t="str">
        <f>"R4480000163"</f>
        <v>R4480000163</v>
      </c>
      <c r="D4258" t="s">
        <v>4370</v>
      </c>
      <c r="E4258" t="s">
        <v>4</v>
      </c>
      <c r="F4258">
        <v>31.4</v>
      </c>
      <c r="H4258" t="s">
        <v>5</v>
      </c>
      <c r="I4258" s="1">
        <v>65.790000000000006</v>
      </c>
      <c r="J4258" s="1">
        <v>63.87</v>
      </c>
      <c r="K4258" t="s">
        <v>6</v>
      </c>
    </row>
    <row r="4259" spans="1:11">
      <c r="A4259" t="s">
        <v>4225</v>
      </c>
      <c r="B4259">
        <v>388829</v>
      </c>
      <c r="C4259" s="2" t="str">
        <f>"R4480000347"</f>
        <v>R4480000347</v>
      </c>
      <c r="D4259" t="s">
        <v>4371</v>
      </c>
      <c r="E4259" t="s">
        <v>4</v>
      </c>
      <c r="F4259">
        <v>15</v>
      </c>
      <c r="H4259" t="s">
        <v>5</v>
      </c>
      <c r="I4259" s="1">
        <v>29.06</v>
      </c>
      <c r="J4259" s="1">
        <v>28.21</v>
      </c>
      <c r="K4259" t="s">
        <v>6</v>
      </c>
    </row>
    <row r="4260" spans="1:11">
      <c r="A4260" t="s">
        <v>4225</v>
      </c>
      <c r="B4260">
        <v>388830</v>
      </c>
      <c r="C4260" s="2" t="str">
        <f>"R4480000361"</f>
        <v>R4480000361</v>
      </c>
      <c r="D4260" t="s">
        <v>4372</v>
      </c>
      <c r="E4260" t="s">
        <v>4</v>
      </c>
      <c r="F4260">
        <v>21.7</v>
      </c>
      <c r="H4260" t="s">
        <v>5</v>
      </c>
      <c r="I4260" s="1">
        <v>54.4</v>
      </c>
      <c r="J4260" s="1">
        <v>52.82</v>
      </c>
      <c r="K4260" t="s">
        <v>6</v>
      </c>
    </row>
    <row r="4261" spans="1:11">
      <c r="A4261" t="s">
        <v>4225</v>
      </c>
      <c r="B4261">
        <v>393081</v>
      </c>
      <c r="C4261" s="2" t="str">
        <f>"R4480000371"</f>
        <v>R4480000371</v>
      </c>
      <c r="D4261" t="s">
        <v>4373</v>
      </c>
      <c r="E4261" t="s">
        <v>4</v>
      </c>
      <c r="F4261">
        <v>26</v>
      </c>
      <c r="H4261" t="s">
        <v>5</v>
      </c>
      <c r="I4261" s="1">
        <v>70.62</v>
      </c>
      <c r="J4261" s="1">
        <v>68.56</v>
      </c>
      <c r="K4261" t="s">
        <v>6</v>
      </c>
    </row>
    <row r="4262" spans="1:11">
      <c r="A4262" t="s">
        <v>4225</v>
      </c>
      <c r="B4262">
        <v>388586</v>
      </c>
      <c r="C4262" s="2" t="str">
        <f>"R4480000501"</f>
        <v>R4480000501</v>
      </c>
      <c r="D4262" t="s">
        <v>4374</v>
      </c>
      <c r="E4262" t="s">
        <v>4</v>
      </c>
      <c r="F4262">
        <v>18</v>
      </c>
      <c r="H4262" t="s">
        <v>5</v>
      </c>
      <c r="I4262" s="1">
        <v>31.69</v>
      </c>
      <c r="J4262" s="1">
        <v>30.77</v>
      </c>
      <c r="K4262" t="s">
        <v>6</v>
      </c>
    </row>
    <row r="4263" spans="1:11">
      <c r="A4263" t="s">
        <v>4225</v>
      </c>
      <c r="B4263">
        <v>388834</v>
      </c>
      <c r="C4263" s="2" t="str">
        <f>"R4480000505"</f>
        <v>R4480000505</v>
      </c>
      <c r="D4263" t="s">
        <v>4375</v>
      </c>
      <c r="E4263" t="s">
        <v>4</v>
      </c>
      <c r="F4263">
        <v>9.8000000000000007</v>
      </c>
      <c r="H4263" t="s">
        <v>5</v>
      </c>
      <c r="I4263" s="1">
        <v>25.63</v>
      </c>
      <c r="J4263" s="1">
        <v>24.88</v>
      </c>
      <c r="K4263" t="s">
        <v>6</v>
      </c>
    </row>
    <row r="4264" spans="1:11">
      <c r="A4264" t="s">
        <v>4225</v>
      </c>
      <c r="B4264">
        <v>388591</v>
      </c>
      <c r="C4264" s="2" t="str">
        <f>"R4480000510"</f>
        <v>R4480000510</v>
      </c>
      <c r="D4264" t="s">
        <v>4376</v>
      </c>
      <c r="E4264" t="s">
        <v>4</v>
      </c>
      <c r="F4264">
        <v>20</v>
      </c>
      <c r="H4264" t="s">
        <v>5</v>
      </c>
      <c r="I4264" s="1">
        <v>37.08</v>
      </c>
      <c r="J4264" s="1">
        <v>36</v>
      </c>
      <c r="K4264" t="s">
        <v>6</v>
      </c>
    </row>
    <row r="4265" spans="1:11">
      <c r="A4265" t="s">
        <v>4225</v>
      </c>
      <c r="B4265">
        <v>388833</v>
      </c>
      <c r="C4265" s="2" t="str">
        <f>"R4480000525"</f>
        <v>R4480000525</v>
      </c>
      <c r="D4265" t="s">
        <v>4377</v>
      </c>
      <c r="E4265" t="s">
        <v>4</v>
      </c>
      <c r="F4265">
        <v>11.7</v>
      </c>
      <c r="H4265" t="s">
        <v>5</v>
      </c>
      <c r="I4265" s="1">
        <v>28.84</v>
      </c>
      <c r="J4265" s="1">
        <v>28</v>
      </c>
      <c r="K4265" t="s">
        <v>6</v>
      </c>
    </row>
    <row r="4266" spans="1:11">
      <c r="A4266" t="s">
        <v>4225</v>
      </c>
      <c r="B4266">
        <v>388835</v>
      </c>
      <c r="C4266" s="2" t="str">
        <f>"R4480000560"</f>
        <v>R4480000560</v>
      </c>
      <c r="D4266" t="s">
        <v>4378</v>
      </c>
      <c r="E4266" t="s">
        <v>4</v>
      </c>
      <c r="F4266">
        <v>26.3</v>
      </c>
      <c r="H4266" t="s">
        <v>5</v>
      </c>
      <c r="I4266" s="1">
        <v>53.91</v>
      </c>
      <c r="J4266" s="1">
        <v>52.34</v>
      </c>
      <c r="K4266" t="s">
        <v>6</v>
      </c>
    </row>
    <row r="4267" spans="1:11">
      <c r="A4267" t="s">
        <v>4225</v>
      </c>
      <c r="B4267">
        <v>457751</v>
      </c>
      <c r="C4267" s="2" t="str">
        <f>"R4480000560C"</f>
        <v>R4480000560C</v>
      </c>
      <c r="D4267" t="s">
        <v>4379</v>
      </c>
      <c r="E4267" t="s">
        <v>4</v>
      </c>
      <c r="F4267">
        <v>30</v>
      </c>
      <c r="H4267" t="s">
        <v>5</v>
      </c>
      <c r="I4267" s="1">
        <v>65.2</v>
      </c>
      <c r="J4267" s="1">
        <v>63.3</v>
      </c>
      <c r="K4267" t="s">
        <v>6</v>
      </c>
    </row>
    <row r="4268" spans="1:11">
      <c r="A4268" t="s">
        <v>4225</v>
      </c>
      <c r="B4268">
        <v>388806</v>
      </c>
      <c r="C4268" s="2" t="str">
        <f>"R4480000700"</f>
        <v>R4480000700</v>
      </c>
      <c r="D4268" t="s">
        <v>4380</v>
      </c>
      <c r="E4268" t="s">
        <v>4</v>
      </c>
      <c r="F4268">
        <v>18.600000000000001</v>
      </c>
      <c r="H4268" t="s">
        <v>5</v>
      </c>
      <c r="I4268" s="1">
        <v>33.700000000000003</v>
      </c>
      <c r="J4268" s="1">
        <v>32.72</v>
      </c>
      <c r="K4268" t="s">
        <v>6</v>
      </c>
    </row>
    <row r="4269" spans="1:11">
      <c r="A4269" t="s">
        <v>4225</v>
      </c>
      <c r="B4269">
        <v>389141</v>
      </c>
      <c r="C4269" s="2" t="str">
        <f>"R4480000711"</f>
        <v>R4480000711</v>
      </c>
      <c r="D4269" t="s">
        <v>4381</v>
      </c>
      <c r="E4269" t="s">
        <v>4</v>
      </c>
      <c r="F4269">
        <v>13.1</v>
      </c>
      <c r="H4269" t="s">
        <v>5</v>
      </c>
      <c r="I4269" s="1">
        <v>29.08</v>
      </c>
      <c r="J4269" s="1">
        <v>28.24</v>
      </c>
      <c r="K4269" t="s">
        <v>6</v>
      </c>
    </row>
    <row r="4270" spans="1:11">
      <c r="A4270" t="s">
        <v>4225</v>
      </c>
      <c r="B4270">
        <v>388622</v>
      </c>
      <c r="C4270" s="2" t="str">
        <f>"R4480000720"</f>
        <v>R4480000720</v>
      </c>
      <c r="D4270" t="s">
        <v>4382</v>
      </c>
      <c r="E4270" t="s">
        <v>4</v>
      </c>
      <c r="F4270">
        <v>23</v>
      </c>
      <c r="H4270" t="s">
        <v>5</v>
      </c>
      <c r="I4270" s="1">
        <v>49.85</v>
      </c>
      <c r="J4270" s="1">
        <v>48.4</v>
      </c>
      <c r="K4270" t="s">
        <v>6</v>
      </c>
    </row>
    <row r="4271" spans="1:11">
      <c r="A4271" t="s">
        <v>4225</v>
      </c>
      <c r="B4271">
        <v>388832</v>
      </c>
      <c r="C4271" s="2" t="str">
        <f>"R4480000731"</f>
        <v>R4480000731</v>
      </c>
      <c r="D4271" t="s">
        <v>4383</v>
      </c>
      <c r="E4271" t="s">
        <v>4</v>
      </c>
      <c r="F4271">
        <v>24.9</v>
      </c>
      <c r="H4271" t="s">
        <v>5</v>
      </c>
      <c r="I4271" s="1">
        <v>51.98</v>
      </c>
      <c r="J4271" s="1">
        <v>50.47</v>
      </c>
      <c r="K4271" t="s">
        <v>6</v>
      </c>
    </row>
    <row r="4272" spans="1:11">
      <c r="A4272" t="s">
        <v>4225</v>
      </c>
      <c r="B4272">
        <v>388807</v>
      </c>
      <c r="C4272" s="2" t="str">
        <f>"R4480000733"</f>
        <v>R4480000733</v>
      </c>
      <c r="D4272" t="s">
        <v>4384</v>
      </c>
      <c r="E4272" t="s">
        <v>4</v>
      </c>
      <c r="F4272">
        <v>35.4</v>
      </c>
      <c r="H4272" t="s">
        <v>5</v>
      </c>
      <c r="I4272" s="1">
        <v>61.78</v>
      </c>
      <c r="J4272" s="1">
        <v>59.98</v>
      </c>
      <c r="K4272" t="s">
        <v>6</v>
      </c>
    </row>
    <row r="4273" spans="1:11">
      <c r="A4273" t="s">
        <v>4225</v>
      </c>
      <c r="B4273">
        <v>457749</v>
      </c>
      <c r="C4273" s="2" t="str">
        <f>"R4480000733C"</f>
        <v>R4480000733C</v>
      </c>
      <c r="D4273" t="s">
        <v>4385</v>
      </c>
      <c r="E4273" t="s">
        <v>4</v>
      </c>
      <c r="F4273">
        <v>37</v>
      </c>
      <c r="H4273" t="s">
        <v>5</v>
      </c>
      <c r="I4273" s="1">
        <v>84.2</v>
      </c>
      <c r="J4273" s="1">
        <v>81.739999999999995</v>
      </c>
      <c r="K4273" t="s">
        <v>6</v>
      </c>
    </row>
    <row r="4274" spans="1:11">
      <c r="A4274" t="s">
        <v>4225</v>
      </c>
      <c r="B4274">
        <v>388623</v>
      </c>
      <c r="C4274" s="2" t="str">
        <f>"R4480000740"</f>
        <v>R4480000740</v>
      </c>
      <c r="D4274" t="s">
        <v>4386</v>
      </c>
      <c r="E4274" t="s">
        <v>4</v>
      </c>
      <c r="F4274">
        <v>28.9</v>
      </c>
      <c r="H4274" t="s">
        <v>5</v>
      </c>
      <c r="I4274" s="1">
        <v>46.58</v>
      </c>
      <c r="J4274" s="1">
        <v>45.23</v>
      </c>
      <c r="K4274" t="s">
        <v>6</v>
      </c>
    </row>
    <row r="4275" spans="1:11">
      <c r="A4275" t="s">
        <v>4225</v>
      </c>
      <c r="B4275">
        <v>430205</v>
      </c>
      <c r="C4275" s="2" t="str">
        <f>"R4480000740C"</f>
        <v>R4480000740C</v>
      </c>
      <c r="D4275" t="s">
        <v>4387</v>
      </c>
      <c r="E4275" t="s">
        <v>4</v>
      </c>
      <c r="F4275">
        <v>42.1</v>
      </c>
      <c r="H4275" t="s">
        <v>5</v>
      </c>
      <c r="I4275" s="1">
        <v>76.040000000000006</v>
      </c>
      <c r="J4275" s="1">
        <v>73.83</v>
      </c>
      <c r="K4275" t="s">
        <v>6</v>
      </c>
    </row>
    <row r="4276" spans="1:11">
      <c r="A4276" t="s">
        <v>4225</v>
      </c>
      <c r="B4276">
        <v>388601</v>
      </c>
      <c r="C4276" s="2" t="str">
        <f>"R4480000790"</f>
        <v>R4480000790</v>
      </c>
      <c r="D4276" t="s">
        <v>4388</v>
      </c>
      <c r="E4276" t="s">
        <v>4</v>
      </c>
      <c r="F4276">
        <v>33.799999999999997</v>
      </c>
      <c r="H4276" t="s">
        <v>5</v>
      </c>
      <c r="I4276" s="1">
        <v>69.55</v>
      </c>
      <c r="J4276" s="1">
        <v>67.52</v>
      </c>
      <c r="K4276" t="s">
        <v>6</v>
      </c>
    </row>
    <row r="4277" spans="1:11">
      <c r="A4277" t="s">
        <v>4225</v>
      </c>
      <c r="B4277">
        <v>388612</v>
      </c>
      <c r="C4277" s="2" t="str">
        <f>"R4510000119"</f>
        <v>R4510000119</v>
      </c>
      <c r="D4277" t="s">
        <v>4389</v>
      </c>
      <c r="E4277" t="s">
        <v>4</v>
      </c>
      <c r="F4277">
        <v>22</v>
      </c>
      <c r="H4277" t="s">
        <v>5</v>
      </c>
      <c r="I4277" s="1">
        <v>134.46</v>
      </c>
      <c r="J4277" s="1">
        <v>129.29</v>
      </c>
      <c r="K4277" t="s">
        <v>6</v>
      </c>
    </row>
    <row r="4278" spans="1:11">
      <c r="A4278" t="s">
        <v>4225</v>
      </c>
      <c r="B4278">
        <v>388613</v>
      </c>
      <c r="C4278" s="2" t="str">
        <f>"R4510000127"</f>
        <v>R4510000127</v>
      </c>
      <c r="D4278" t="s">
        <v>4390</v>
      </c>
      <c r="E4278" t="s">
        <v>4</v>
      </c>
      <c r="F4278">
        <v>27.7</v>
      </c>
      <c r="H4278" t="s">
        <v>5</v>
      </c>
      <c r="I4278" s="1">
        <v>179.48</v>
      </c>
      <c r="J4278" s="1">
        <v>172.58</v>
      </c>
      <c r="K4278" t="s">
        <v>6</v>
      </c>
    </row>
    <row r="4279" spans="1:11">
      <c r="A4279" t="s">
        <v>4225</v>
      </c>
      <c r="B4279">
        <v>389664</v>
      </c>
      <c r="C4279" s="2" t="str">
        <f>"R4510000139"</f>
        <v>R4510000139</v>
      </c>
      <c r="D4279" t="s">
        <v>4391</v>
      </c>
      <c r="E4279" t="s">
        <v>4</v>
      </c>
      <c r="F4279">
        <v>28</v>
      </c>
      <c r="H4279" t="s">
        <v>5</v>
      </c>
      <c r="I4279" s="1">
        <v>173.87</v>
      </c>
      <c r="J4279" s="1">
        <v>167.18</v>
      </c>
      <c r="K4279" t="s">
        <v>6</v>
      </c>
    </row>
    <row r="4280" spans="1:11">
      <c r="A4280" t="s">
        <v>4225</v>
      </c>
      <c r="B4280">
        <v>394974</v>
      </c>
      <c r="C4280" s="2" t="str">
        <f>"R4510000146"</f>
        <v>R4510000146</v>
      </c>
      <c r="D4280" t="s">
        <v>4392</v>
      </c>
      <c r="E4280" t="s">
        <v>4</v>
      </c>
      <c r="F4280">
        <v>33</v>
      </c>
      <c r="H4280" t="s">
        <v>5</v>
      </c>
      <c r="I4280" s="1">
        <v>259.72000000000003</v>
      </c>
      <c r="J4280" s="1">
        <v>249.73</v>
      </c>
      <c r="K4280" t="s">
        <v>6</v>
      </c>
    </row>
    <row r="4281" spans="1:11">
      <c r="A4281" t="s">
        <v>4225</v>
      </c>
      <c r="B4281">
        <v>391042</v>
      </c>
      <c r="C4281" s="2" t="str">
        <f>"R4510000152"</f>
        <v>R4510000152</v>
      </c>
      <c r="D4281" t="s">
        <v>4393</v>
      </c>
      <c r="E4281" t="s">
        <v>4</v>
      </c>
      <c r="F4281">
        <v>21</v>
      </c>
      <c r="H4281" t="s">
        <v>5</v>
      </c>
      <c r="I4281" s="1">
        <v>151.29</v>
      </c>
      <c r="J4281" s="1">
        <v>145.47</v>
      </c>
      <c r="K4281" t="s">
        <v>6</v>
      </c>
    </row>
    <row r="4282" spans="1:11">
      <c r="A4282" t="s">
        <v>4225</v>
      </c>
      <c r="B4282">
        <v>389342</v>
      </c>
      <c r="C4282" s="2" t="str">
        <f>"R4510000501"</f>
        <v>R4510000501</v>
      </c>
      <c r="D4282" t="s">
        <v>4394</v>
      </c>
      <c r="E4282" t="s">
        <v>4</v>
      </c>
      <c r="F4282">
        <v>16</v>
      </c>
      <c r="H4282" t="s">
        <v>5</v>
      </c>
      <c r="I4282" s="1">
        <v>123.1</v>
      </c>
      <c r="J4282" s="1">
        <v>118.37</v>
      </c>
      <c r="K4282" t="s">
        <v>6</v>
      </c>
    </row>
    <row r="4283" spans="1:11">
      <c r="A4283" t="s">
        <v>4225</v>
      </c>
      <c r="B4283">
        <v>409451</v>
      </c>
      <c r="C4283" s="2" t="str">
        <f>"R4510000520"</f>
        <v>R4510000520</v>
      </c>
      <c r="D4283" t="s">
        <v>4395</v>
      </c>
      <c r="E4283" t="s">
        <v>4</v>
      </c>
      <c r="F4283">
        <v>23</v>
      </c>
      <c r="H4283" t="s">
        <v>5</v>
      </c>
      <c r="I4283" s="1">
        <v>193.67</v>
      </c>
      <c r="J4283" s="1">
        <v>186.23</v>
      </c>
      <c r="K4283" t="s">
        <v>6</v>
      </c>
    </row>
    <row r="4284" spans="1:11">
      <c r="A4284" t="s">
        <v>4225</v>
      </c>
      <c r="B4284">
        <v>389341</v>
      </c>
      <c r="C4284" s="2" t="str">
        <f>"R4510000521"</f>
        <v>R4510000521</v>
      </c>
      <c r="D4284" t="s">
        <v>4396</v>
      </c>
      <c r="E4284" t="s">
        <v>4</v>
      </c>
      <c r="F4284">
        <v>19.3</v>
      </c>
      <c r="H4284" t="s">
        <v>5</v>
      </c>
      <c r="I4284" s="1">
        <v>179.48</v>
      </c>
      <c r="J4284" s="1">
        <v>172.58</v>
      </c>
      <c r="K4284" t="s">
        <v>6</v>
      </c>
    </row>
    <row r="4285" spans="1:11">
      <c r="A4285" t="s">
        <v>4225</v>
      </c>
      <c r="B4285">
        <v>391038</v>
      </c>
      <c r="C4285" s="2" t="str">
        <f>"R4510000567"</f>
        <v>R4510000567</v>
      </c>
      <c r="D4285" t="s">
        <v>4397</v>
      </c>
      <c r="E4285" t="s">
        <v>4</v>
      </c>
      <c r="F4285">
        <v>25</v>
      </c>
      <c r="H4285" t="s">
        <v>5</v>
      </c>
      <c r="I4285" s="1">
        <v>209.09</v>
      </c>
      <c r="J4285" s="1">
        <v>201.05</v>
      </c>
      <c r="K4285" t="s">
        <v>6</v>
      </c>
    </row>
    <row r="4286" spans="1:11">
      <c r="A4286" t="s">
        <v>4225</v>
      </c>
      <c r="B4286">
        <v>391040</v>
      </c>
      <c r="C4286" s="2" t="str">
        <f>"R4510000700"</f>
        <v>R4510000700</v>
      </c>
      <c r="D4286" t="s">
        <v>4398</v>
      </c>
      <c r="E4286" t="s">
        <v>4</v>
      </c>
      <c r="F4286">
        <v>20</v>
      </c>
      <c r="H4286" t="s">
        <v>5</v>
      </c>
      <c r="I4286" s="1">
        <v>156.36000000000001</v>
      </c>
      <c r="J4286" s="1">
        <v>150.35</v>
      </c>
      <c r="K4286" t="s">
        <v>6</v>
      </c>
    </row>
    <row r="4287" spans="1:11">
      <c r="A4287" t="s">
        <v>4225</v>
      </c>
      <c r="B4287">
        <v>388611</v>
      </c>
      <c r="C4287" s="2" t="str">
        <f>"R4510000712"</f>
        <v>R4510000712</v>
      </c>
      <c r="D4287" t="s">
        <v>4399</v>
      </c>
      <c r="E4287" t="s">
        <v>4</v>
      </c>
      <c r="F4287">
        <v>14</v>
      </c>
      <c r="H4287" t="s">
        <v>5</v>
      </c>
      <c r="I4287" s="1">
        <v>142.57</v>
      </c>
      <c r="J4287" s="1">
        <v>137.09</v>
      </c>
      <c r="K4287" t="s">
        <v>6</v>
      </c>
    </row>
    <row r="4288" spans="1:11">
      <c r="A4288" t="s">
        <v>4225</v>
      </c>
      <c r="B4288">
        <v>394905</v>
      </c>
      <c r="C4288" s="2" t="str">
        <f>"R4510000720"</f>
        <v>R4510000720</v>
      </c>
      <c r="D4288" t="s">
        <v>4400</v>
      </c>
      <c r="E4288" t="s">
        <v>4</v>
      </c>
      <c r="F4288">
        <v>27</v>
      </c>
      <c r="H4288" t="s">
        <v>5</v>
      </c>
      <c r="I4288" s="1">
        <v>209.09</v>
      </c>
      <c r="J4288" s="1">
        <v>201.05</v>
      </c>
      <c r="K4288" t="s">
        <v>6</v>
      </c>
    </row>
    <row r="4289" spans="1:11">
      <c r="A4289" t="s">
        <v>4225</v>
      </c>
      <c r="B4289">
        <v>401814</v>
      </c>
      <c r="C4289" s="2" t="str">
        <f>"R4510000740"</f>
        <v>R4510000740</v>
      </c>
      <c r="D4289" t="s">
        <v>4401</v>
      </c>
      <c r="E4289" t="s">
        <v>4</v>
      </c>
      <c r="F4289">
        <v>30</v>
      </c>
      <c r="H4289" t="s">
        <v>5</v>
      </c>
      <c r="I4289" s="1">
        <v>224.7</v>
      </c>
      <c r="J4289" s="1">
        <v>216.06</v>
      </c>
      <c r="K4289" t="s">
        <v>6</v>
      </c>
    </row>
    <row r="4290" spans="1:11">
      <c r="A4290" t="s">
        <v>4225</v>
      </c>
      <c r="B4290">
        <v>389098</v>
      </c>
      <c r="C4290" s="2" t="str">
        <f>"R4520000600"</f>
        <v>R4520000600</v>
      </c>
      <c r="D4290" t="s">
        <v>4402</v>
      </c>
      <c r="E4290" t="s">
        <v>4</v>
      </c>
      <c r="F4290">
        <v>9.5</v>
      </c>
      <c r="H4290" t="s">
        <v>5</v>
      </c>
      <c r="I4290" s="1">
        <v>97.48</v>
      </c>
      <c r="J4290" s="1">
        <v>93.73</v>
      </c>
      <c r="K4290" t="s">
        <v>6</v>
      </c>
    </row>
    <row r="4291" spans="1:11">
      <c r="A4291" t="s">
        <v>4225</v>
      </c>
      <c r="B4291">
        <v>388598</v>
      </c>
      <c r="C4291" s="2" t="str">
        <f>"R4520000603"</f>
        <v>R4520000603</v>
      </c>
      <c r="D4291" t="s">
        <v>4403</v>
      </c>
      <c r="E4291" t="s">
        <v>4</v>
      </c>
      <c r="F4291">
        <v>8.5</v>
      </c>
      <c r="H4291" t="s">
        <v>5</v>
      </c>
      <c r="I4291" s="1">
        <v>70.64</v>
      </c>
      <c r="J4291" s="1">
        <v>67.930000000000007</v>
      </c>
      <c r="K4291" t="s">
        <v>6</v>
      </c>
    </row>
    <row r="4292" spans="1:11">
      <c r="A4292" t="s">
        <v>4225</v>
      </c>
      <c r="B4292">
        <v>388624</v>
      </c>
      <c r="C4292" s="2" t="str">
        <f>"R4530000111"</f>
        <v>R4530000111</v>
      </c>
      <c r="D4292" t="s">
        <v>4404</v>
      </c>
      <c r="E4292" t="s">
        <v>4</v>
      </c>
      <c r="F4292">
        <v>17.899999999999999</v>
      </c>
      <c r="H4292" t="s">
        <v>5</v>
      </c>
      <c r="I4292" s="1">
        <v>26.83</v>
      </c>
      <c r="J4292" s="1">
        <v>26.05</v>
      </c>
      <c r="K4292" t="s">
        <v>6</v>
      </c>
    </row>
    <row r="4293" spans="1:11">
      <c r="A4293" t="s">
        <v>4225</v>
      </c>
      <c r="B4293">
        <v>388625</v>
      </c>
      <c r="C4293" s="2" t="str">
        <f>"R4530000117"</f>
        <v>R4530000117</v>
      </c>
      <c r="D4293" t="s">
        <v>4405</v>
      </c>
      <c r="E4293" t="s">
        <v>4</v>
      </c>
      <c r="F4293">
        <v>22.1</v>
      </c>
      <c r="H4293" t="s">
        <v>5</v>
      </c>
      <c r="I4293" s="1">
        <v>33.06</v>
      </c>
      <c r="J4293" s="1">
        <v>32.1</v>
      </c>
      <c r="K4293" t="s">
        <v>6</v>
      </c>
    </row>
    <row r="4294" spans="1:11">
      <c r="A4294" t="s">
        <v>4225</v>
      </c>
      <c r="B4294">
        <v>388626</v>
      </c>
      <c r="C4294" s="2" t="str">
        <f>"R4530000124"</f>
        <v>R4530000124</v>
      </c>
      <c r="D4294" t="s">
        <v>4406</v>
      </c>
      <c r="E4294" t="s">
        <v>4</v>
      </c>
      <c r="F4294">
        <v>32.9</v>
      </c>
      <c r="H4294" t="s">
        <v>5</v>
      </c>
      <c r="I4294" s="1">
        <v>41.78</v>
      </c>
      <c r="J4294" s="1">
        <v>40.56</v>
      </c>
      <c r="K4294" t="s">
        <v>6</v>
      </c>
    </row>
    <row r="4295" spans="1:11">
      <c r="A4295" t="s">
        <v>4225</v>
      </c>
      <c r="B4295">
        <v>388627</v>
      </c>
      <c r="C4295" s="2" t="str">
        <f>"R4530000139"</f>
        <v>R4530000139</v>
      </c>
      <c r="D4295" t="s">
        <v>4407</v>
      </c>
      <c r="E4295" t="s">
        <v>4</v>
      </c>
      <c r="F4295">
        <v>35.799999999999997</v>
      </c>
      <c r="H4295" t="s">
        <v>5</v>
      </c>
      <c r="I4295" s="1">
        <v>47.4</v>
      </c>
      <c r="J4295" s="1">
        <v>46.02</v>
      </c>
      <c r="K4295" t="s">
        <v>6</v>
      </c>
    </row>
    <row r="4296" spans="1:11">
      <c r="A4296" t="s">
        <v>4225</v>
      </c>
      <c r="B4296">
        <v>388628</v>
      </c>
      <c r="C4296" s="2" t="str">
        <f>"R4530000144"</f>
        <v>R4530000144</v>
      </c>
      <c r="D4296" t="s">
        <v>4408</v>
      </c>
      <c r="E4296" t="s">
        <v>4</v>
      </c>
      <c r="F4296">
        <v>47</v>
      </c>
      <c r="H4296" t="s">
        <v>5</v>
      </c>
      <c r="I4296" s="1">
        <v>59.69</v>
      </c>
      <c r="J4296" s="1">
        <v>57.95</v>
      </c>
      <c r="K4296" t="s">
        <v>6</v>
      </c>
    </row>
    <row r="4297" spans="1:11">
      <c r="A4297" t="s">
        <v>4225</v>
      </c>
      <c r="B4297">
        <v>439054</v>
      </c>
      <c r="C4297" s="2" t="str">
        <f>"R4530000149"</f>
        <v>R4530000149</v>
      </c>
      <c r="D4297" t="s">
        <v>4409</v>
      </c>
      <c r="E4297" t="s">
        <v>4</v>
      </c>
      <c r="F4297">
        <v>23</v>
      </c>
      <c r="H4297" t="s">
        <v>5</v>
      </c>
      <c r="I4297" s="1">
        <v>39.15</v>
      </c>
      <c r="J4297" s="1">
        <v>38.01</v>
      </c>
      <c r="K4297" t="s">
        <v>6</v>
      </c>
    </row>
    <row r="4298" spans="1:11">
      <c r="A4298" t="s">
        <v>4225</v>
      </c>
      <c r="B4298">
        <v>398927</v>
      </c>
      <c r="C4298" s="2" t="str">
        <f>"R4530000163"</f>
        <v>R4530000163</v>
      </c>
      <c r="D4298" t="s">
        <v>4410</v>
      </c>
      <c r="E4298" t="s">
        <v>4</v>
      </c>
      <c r="F4298">
        <v>35</v>
      </c>
      <c r="H4298" t="s">
        <v>5</v>
      </c>
      <c r="I4298" s="1">
        <v>83.58</v>
      </c>
      <c r="J4298" s="1">
        <v>81.150000000000006</v>
      </c>
      <c r="K4298" t="s">
        <v>6</v>
      </c>
    </row>
    <row r="4299" spans="1:11">
      <c r="A4299" t="s">
        <v>4225</v>
      </c>
      <c r="B4299">
        <v>388630</v>
      </c>
      <c r="C4299" s="2" t="str">
        <f>"R4530000342"</f>
        <v>R4530000342</v>
      </c>
      <c r="D4299" t="s">
        <v>4411</v>
      </c>
      <c r="E4299" t="s">
        <v>4</v>
      </c>
      <c r="F4299">
        <v>33.700000000000003</v>
      </c>
      <c r="H4299" t="s">
        <v>5</v>
      </c>
      <c r="I4299" s="1">
        <v>65.81</v>
      </c>
      <c r="J4299" s="1">
        <v>63.9</v>
      </c>
      <c r="K4299" t="s">
        <v>6</v>
      </c>
    </row>
    <row r="4300" spans="1:11">
      <c r="A4300" t="s">
        <v>4225</v>
      </c>
      <c r="B4300">
        <v>388631</v>
      </c>
      <c r="C4300" s="2" t="str">
        <f>"R4530000360"</f>
        <v>R4530000360</v>
      </c>
      <c r="D4300" t="s">
        <v>4412</v>
      </c>
      <c r="E4300" t="s">
        <v>4</v>
      </c>
      <c r="F4300">
        <v>24.7</v>
      </c>
      <c r="H4300" t="s">
        <v>5</v>
      </c>
      <c r="I4300" s="1">
        <v>47.71</v>
      </c>
      <c r="J4300" s="1">
        <v>46.32</v>
      </c>
      <c r="K4300" t="s">
        <v>6</v>
      </c>
    </row>
    <row r="4301" spans="1:11">
      <c r="A4301" t="s">
        <v>4225</v>
      </c>
      <c r="B4301">
        <v>391493</v>
      </c>
      <c r="C4301" s="2" t="str">
        <f>"R4530000368"</f>
        <v>R4530000368</v>
      </c>
      <c r="D4301" t="s">
        <v>4413</v>
      </c>
      <c r="E4301" t="s">
        <v>4</v>
      </c>
      <c r="F4301">
        <v>29.3</v>
      </c>
      <c r="H4301" t="s">
        <v>5</v>
      </c>
      <c r="I4301" s="1">
        <v>64.430000000000007</v>
      </c>
      <c r="J4301" s="1">
        <v>62.56</v>
      </c>
      <c r="K4301" t="s">
        <v>6</v>
      </c>
    </row>
    <row r="4302" spans="1:11">
      <c r="A4302" t="s">
        <v>4225</v>
      </c>
      <c r="B4302">
        <v>388592</v>
      </c>
      <c r="C4302" s="2" t="str">
        <f>"R4530000501"</f>
        <v>R4530000501</v>
      </c>
      <c r="D4302" t="s">
        <v>4414</v>
      </c>
      <c r="E4302" t="s">
        <v>4</v>
      </c>
      <c r="F4302">
        <v>21.4</v>
      </c>
      <c r="H4302" t="s">
        <v>5</v>
      </c>
      <c r="I4302" s="1">
        <v>28.24</v>
      </c>
      <c r="J4302" s="1">
        <v>27.42</v>
      </c>
      <c r="K4302" t="s">
        <v>6</v>
      </c>
    </row>
    <row r="4303" spans="1:11">
      <c r="A4303" t="s">
        <v>4225</v>
      </c>
      <c r="B4303">
        <v>388594</v>
      </c>
      <c r="C4303" s="2" t="str">
        <f>"R4530000521"</f>
        <v>R4530000521</v>
      </c>
      <c r="D4303" t="s">
        <v>4415</v>
      </c>
      <c r="E4303" t="s">
        <v>4</v>
      </c>
      <c r="F4303">
        <v>25</v>
      </c>
      <c r="H4303" t="s">
        <v>5</v>
      </c>
      <c r="I4303" s="1">
        <v>41.01</v>
      </c>
      <c r="J4303" s="1">
        <v>39.82</v>
      </c>
      <c r="K4303" t="s">
        <v>6</v>
      </c>
    </row>
    <row r="4304" spans="1:11">
      <c r="A4304" t="s">
        <v>4225</v>
      </c>
      <c r="B4304">
        <v>388599</v>
      </c>
      <c r="C4304" s="2" t="str">
        <f>"R4530000560"</f>
        <v>R4530000560</v>
      </c>
      <c r="D4304" t="s">
        <v>4416</v>
      </c>
      <c r="E4304" t="s">
        <v>4</v>
      </c>
      <c r="F4304">
        <v>28.3</v>
      </c>
      <c r="H4304" t="s">
        <v>5</v>
      </c>
      <c r="I4304" s="1">
        <v>47.24</v>
      </c>
      <c r="J4304" s="1">
        <v>45.86</v>
      </c>
      <c r="K4304" t="s">
        <v>6</v>
      </c>
    </row>
    <row r="4305" spans="1:11">
      <c r="A4305" t="s">
        <v>4225</v>
      </c>
      <c r="B4305">
        <v>388632</v>
      </c>
      <c r="C4305" s="2" t="str">
        <f>"R4530000700"</f>
        <v>R4530000700</v>
      </c>
      <c r="D4305" t="s">
        <v>4417</v>
      </c>
      <c r="E4305" t="s">
        <v>4</v>
      </c>
      <c r="F4305">
        <v>21.7</v>
      </c>
      <c r="H4305" t="s">
        <v>5</v>
      </c>
      <c r="I4305" s="1">
        <v>34.020000000000003</v>
      </c>
      <c r="J4305" s="1">
        <v>33.03</v>
      </c>
      <c r="K4305" t="s">
        <v>6</v>
      </c>
    </row>
    <row r="4306" spans="1:11">
      <c r="A4306" t="s">
        <v>4225</v>
      </c>
      <c r="B4306">
        <v>388633</v>
      </c>
      <c r="C4306" s="2" t="str">
        <f>"R4530000710"</f>
        <v>R4530000710</v>
      </c>
      <c r="D4306" t="s">
        <v>4418</v>
      </c>
      <c r="E4306" t="s">
        <v>4</v>
      </c>
      <c r="F4306">
        <v>10.6</v>
      </c>
      <c r="H4306" t="s">
        <v>5</v>
      </c>
      <c r="I4306" s="1">
        <v>23.9</v>
      </c>
      <c r="J4306" s="1">
        <v>23.21</v>
      </c>
      <c r="K4306" t="s">
        <v>6</v>
      </c>
    </row>
    <row r="4307" spans="1:11">
      <c r="A4307" t="s">
        <v>4225</v>
      </c>
      <c r="B4307">
        <v>388634</v>
      </c>
      <c r="C4307" s="2" t="str">
        <f>"R4530000711"</f>
        <v>R4530000711</v>
      </c>
      <c r="D4307" t="s">
        <v>4419</v>
      </c>
      <c r="E4307" t="s">
        <v>4</v>
      </c>
      <c r="F4307">
        <v>17.100000000000001</v>
      </c>
      <c r="H4307" t="s">
        <v>5</v>
      </c>
      <c r="I4307" s="1">
        <v>26.51</v>
      </c>
      <c r="J4307" s="1">
        <v>25.74</v>
      </c>
      <c r="K4307" t="s">
        <v>6</v>
      </c>
    </row>
    <row r="4308" spans="1:11">
      <c r="A4308" t="s">
        <v>4225</v>
      </c>
      <c r="B4308">
        <v>388635</v>
      </c>
      <c r="C4308" s="2" t="str">
        <f>"R4530000720"</f>
        <v>R4530000720</v>
      </c>
      <c r="D4308" t="s">
        <v>4420</v>
      </c>
      <c r="E4308" t="s">
        <v>4</v>
      </c>
      <c r="F4308">
        <v>31.8</v>
      </c>
      <c r="H4308" t="s">
        <v>5</v>
      </c>
      <c r="I4308" s="1">
        <v>52.06</v>
      </c>
      <c r="J4308" s="1">
        <v>50.54</v>
      </c>
      <c r="K4308" t="s">
        <v>6</v>
      </c>
    </row>
    <row r="4309" spans="1:11">
      <c r="A4309" t="s">
        <v>4225</v>
      </c>
      <c r="B4309">
        <v>388636</v>
      </c>
      <c r="C4309" s="2" t="str">
        <f>"R4530000731"</f>
        <v>R4530000731</v>
      </c>
      <c r="D4309" t="s">
        <v>4421</v>
      </c>
      <c r="E4309" t="s">
        <v>4</v>
      </c>
      <c r="F4309">
        <v>30</v>
      </c>
      <c r="H4309" t="s">
        <v>5</v>
      </c>
      <c r="I4309" s="1">
        <v>46.68</v>
      </c>
      <c r="J4309" s="1">
        <v>45.32</v>
      </c>
      <c r="K4309" t="s">
        <v>6</v>
      </c>
    </row>
    <row r="4310" spans="1:11">
      <c r="A4310" t="s">
        <v>4225</v>
      </c>
      <c r="B4310">
        <v>388638</v>
      </c>
      <c r="C4310" s="2" t="str">
        <f>"R4530000733"</f>
        <v>R4530000733</v>
      </c>
      <c r="D4310" t="s">
        <v>4422</v>
      </c>
      <c r="E4310" t="s">
        <v>4</v>
      </c>
      <c r="F4310">
        <v>37.1</v>
      </c>
      <c r="H4310" t="s">
        <v>5</v>
      </c>
      <c r="I4310" s="1">
        <v>55.72</v>
      </c>
      <c r="J4310" s="1">
        <v>54.09</v>
      </c>
      <c r="K4310" t="s">
        <v>6</v>
      </c>
    </row>
    <row r="4311" spans="1:11">
      <c r="A4311" t="s">
        <v>4225</v>
      </c>
      <c r="B4311">
        <v>388639</v>
      </c>
      <c r="C4311" s="2" t="str">
        <f>"R4530000740"</f>
        <v>R4530000740</v>
      </c>
      <c r="D4311" t="s">
        <v>4423</v>
      </c>
      <c r="E4311" t="s">
        <v>4</v>
      </c>
      <c r="F4311">
        <v>38.299999999999997</v>
      </c>
      <c r="H4311" t="s">
        <v>5</v>
      </c>
      <c r="I4311" s="1">
        <v>55.61</v>
      </c>
      <c r="J4311" s="1">
        <v>53.99</v>
      </c>
      <c r="K4311" t="s">
        <v>6</v>
      </c>
    </row>
    <row r="4312" spans="1:11">
      <c r="A4312" t="s">
        <v>4225</v>
      </c>
      <c r="B4312">
        <v>388602</v>
      </c>
      <c r="C4312" s="2" t="str">
        <f>"R4530000756"</f>
        <v>R4530000756</v>
      </c>
      <c r="D4312" t="s">
        <v>4424</v>
      </c>
      <c r="E4312" t="s">
        <v>4</v>
      </c>
      <c r="F4312">
        <v>41</v>
      </c>
      <c r="H4312" t="s">
        <v>5</v>
      </c>
      <c r="I4312" s="1">
        <v>98.66</v>
      </c>
      <c r="J4312" s="1">
        <v>95.78</v>
      </c>
      <c r="K4312" t="s">
        <v>6</v>
      </c>
    </row>
    <row r="4313" spans="1:11">
      <c r="A4313" t="s">
        <v>4225</v>
      </c>
      <c r="B4313">
        <v>388604</v>
      </c>
      <c r="C4313" s="2" t="str">
        <f>"R4530000790"</f>
        <v>R4530000790</v>
      </c>
      <c r="D4313" t="s">
        <v>4425</v>
      </c>
      <c r="E4313" t="s">
        <v>4</v>
      </c>
      <c r="F4313">
        <v>34.700000000000003</v>
      </c>
      <c r="H4313" t="s">
        <v>5</v>
      </c>
      <c r="I4313" s="1">
        <v>84.96</v>
      </c>
      <c r="J4313" s="1">
        <v>82.49</v>
      </c>
      <c r="K4313" t="s">
        <v>6</v>
      </c>
    </row>
    <row r="4314" spans="1:11">
      <c r="A4314" t="s">
        <v>4225</v>
      </c>
      <c r="B4314">
        <v>388642</v>
      </c>
      <c r="C4314" s="2" t="str">
        <f>"R4540000111"</f>
        <v>R4540000111</v>
      </c>
      <c r="D4314" t="s">
        <v>4426</v>
      </c>
      <c r="E4314" t="s">
        <v>4</v>
      </c>
      <c r="F4314">
        <v>16.100000000000001</v>
      </c>
      <c r="H4314" t="s">
        <v>5</v>
      </c>
      <c r="I4314" s="1">
        <v>26.11</v>
      </c>
      <c r="J4314" s="1">
        <v>25.35</v>
      </c>
      <c r="K4314" t="s">
        <v>6</v>
      </c>
    </row>
    <row r="4315" spans="1:11">
      <c r="A4315" t="s">
        <v>4225</v>
      </c>
      <c r="B4315">
        <v>388652</v>
      </c>
      <c r="C4315" s="2" t="str">
        <f>"R4540000119"</f>
        <v>R4540000119</v>
      </c>
      <c r="D4315" t="s">
        <v>4427</v>
      </c>
      <c r="E4315" t="s">
        <v>4</v>
      </c>
      <c r="F4315">
        <v>24.1</v>
      </c>
      <c r="H4315" t="s">
        <v>5</v>
      </c>
      <c r="I4315" s="1">
        <v>34.99</v>
      </c>
      <c r="J4315" s="1">
        <v>33.97</v>
      </c>
      <c r="K4315" t="s">
        <v>6</v>
      </c>
    </row>
    <row r="4316" spans="1:11">
      <c r="A4316" t="s">
        <v>4225</v>
      </c>
      <c r="B4316">
        <v>388653</v>
      </c>
      <c r="C4316" s="2" t="str">
        <f>"R4540000127"</f>
        <v>R4540000127</v>
      </c>
      <c r="D4316" t="s">
        <v>4428</v>
      </c>
      <c r="E4316" t="s">
        <v>4</v>
      </c>
      <c r="F4316">
        <v>32.4</v>
      </c>
      <c r="H4316" t="s">
        <v>5</v>
      </c>
      <c r="I4316" s="1">
        <v>42.5</v>
      </c>
      <c r="J4316" s="1">
        <v>41.26</v>
      </c>
      <c r="K4316" t="s">
        <v>6</v>
      </c>
    </row>
    <row r="4317" spans="1:11">
      <c r="A4317" t="s">
        <v>4225</v>
      </c>
      <c r="B4317">
        <v>388655</v>
      </c>
      <c r="C4317" s="2" t="str">
        <f>"R4540000139"</f>
        <v>R4540000139</v>
      </c>
      <c r="D4317" t="s">
        <v>4429</v>
      </c>
      <c r="E4317" t="s">
        <v>4</v>
      </c>
      <c r="F4317">
        <v>37</v>
      </c>
      <c r="H4317" t="s">
        <v>5</v>
      </c>
      <c r="I4317" s="1">
        <v>47.35</v>
      </c>
      <c r="J4317" s="1">
        <v>45.97</v>
      </c>
      <c r="K4317" t="s">
        <v>6</v>
      </c>
    </row>
    <row r="4318" spans="1:11">
      <c r="A4318" t="s">
        <v>4225</v>
      </c>
      <c r="B4318">
        <v>388656</v>
      </c>
      <c r="C4318" s="2" t="str">
        <f>"R4540000143"</f>
        <v>R4540000143</v>
      </c>
      <c r="D4318" t="s">
        <v>4430</v>
      </c>
      <c r="E4318" t="s">
        <v>4</v>
      </c>
      <c r="F4318">
        <v>42.3</v>
      </c>
      <c r="H4318" t="s">
        <v>5</v>
      </c>
      <c r="I4318" s="1">
        <v>54.78</v>
      </c>
      <c r="J4318" s="1">
        <v>53.18</v>
      </c>
      <c r="K4318" t="s">
        <v>6</v>
      </c>
    </row>
    <row r="4319" spans="1:11">
      <c r="A4319" t="s">
        <v>4225</v>
      </c>
      <c r="B4319">
        <v>388657</v>
      </c>
      <c r="C4319" s="2" t="str">
        <f>"R4540000151"</f>
        <v>R4540000151</v>
      </c>
      <c r="D4319" t="s">
        <v>4431</v>
      </c>
      <c r="E4319" t="s">
        <v>4</v>
      </c>
      <c r="F4319">
        <v>25.9</v>
      </c>
      <c r="H4319" t="s">
        <v>5</v>
      </c>
      <c r="I4319" s="1">
        <v>37.6</v>
      </c>
      <c r="J4319" s="1">
        <v>36.5</v>
      </c>
      <c r="K4319" t="s">
        <v>6</v>
      </c>
    </row>
    <row r="4320" spans="1:11">
      <c r="A4320" t="s">
        <v>4225</v>
      </c>
      <c r="B4320">
        <v>388659</v>
      </c>
      <c r="C4320" s="2" t="str">
        <f>"R4540000343"</f>
        <v>R4540000343</v>
      </c>
      <c r="D4320" t="s">
        <v>4432</v>
      </c>
      <c r="E4320" t="s">
        <v>4</v>
      </c>
      <c r="F4320">
        <v>42.5</v>
      </c>
      <c r="H4320" t="s">
        <v>5</v>
      </c>
      <c r="I4320" s="1">
        <v>67.61</v>
      </c>
      <c r="J4320" s="1">
        <v>65.64</v>
      </c>
      <c r="K4320" t="s">
        <v>6</v>
      </c>
    </row>
    <row r="4321" spans="1:11">
      <c r="A4321" t="s">
        <v>4225</v>
      </c>
      <c r="B4321">
        <v>388661</v>
      </c>
      <c r="C4321" s="2" t="str">
        <f>"R4540000359"</f>
        <v>R4540000359</v>
      </c>
      <c r="D4321" t="s">
        <v>4433</v>
      </c>
      <c r="E4321" t="s">
        <v>4</v>
      </c>
      <c r="F4321">
        <v>29.5</v>
      </c>
      <c r="H4321" t="s">
        <v>5</v>
      </c>
      <c r="I4321" s="1">
        <v>48.81</v>
      </c>
      <c r="J4321" s="1">
        <v>47.39</v>
      </c>
      <c r="K4321" t="s">
        <v>6</v>
      </c>
    </row>
    <row r="4322" spans="1:11">
      <c r="A4322" t="s">
        <v>4225</v>
      </c>
      <c r="B4322">
        <v>388662</v>
      </c>
      <c r="C4322" s="2" t="str">
        <f>"R4540000373"</f>
        <v>R4540000373</v>
      </c>
      <c r="D4322" t="s">
        <v>4434</v>
      </c>
      <c r="E4322" t="s">
        <v>4</v>
      </c>
      <c r="F4322">
        <v>39.799999999999997</v>
      </c>
      <c r="H4322" t="s">
        <v>5</v>
      </c>
      <c r="I4322" s="1">
        <v>87.77</v>
      </c>
      <c r="J4322" s="1">
        <v>85.22</v>
      </c>
      <c r="K4322" t="s">
        <v>6</v>
      </c>
    </row>
    <row r="4323" spans="1:11">
      <c r="A4323" t="s">
        <v>4225</v>
      </c>
      <c r="B4323">
        <v>388663</v>
      </c>
      <c r="C4323" s="2" t="str">
        <f>"R4540000711"</f>
        <v>R4540000711</v>
      </c>
      <c r="D4323" t="s">
        <v>4435</v>
      </c>
      <c r="E4323" t="s">
        <v>4</v>
      </c>
      <c r="F4323">
        <v>17.100000000000001</v>
      </c>
      <c r="H4323" t="s">
        <v>5</v>
      </c>
      <c r="I4323" s="1">
        <v>26.51</v>
      </c>
      <c r="J4323" s="1">
        <v>25.74</v>
      </c>
      <c r="K4323" t="s">
        <v>6</v>
      </c>
    </row>
    <row r="4324" spans="1:11">
      <c r="A4324" t="s">
        <v>4225</v>
      </c>
      <c r="B4324">
        <v>419331</v>
      </c>
      <c r="C4324" s="2" t="str">
        <f>"T148FDEF"</f>
        <v>T148FDEF</v>
      </c>
      <c r="D4324" t="s">
        <v>4436</v>
      </c>
      <c r="E4324" t="s">
        <v>4</v>
      </c>
      <c r="F4324">
        <v>1.3</v>
      </c>
      <c r="H4324" t="s">
        <v>5</v>
      </c>
      <c r="I4324" s="1">
        <v>45.97</v>
      </c>
      <c r="J4324" s="1">
        <v>44.2</v>
      </c>
      <c r="K4324" t="s">
        <v>6</v>
      </c>
    </row>
    <row r="4325" spans="1:11">
      <c r="A4325" t="s">
        <v>4225</v>
      </c>
      <c r="B4325">
        <v>414118</v>
      </c>
      <c r="C4325" s="2" t="str">
        <f>"T148FDIF"</f>
        <v>T148FDIF</v>
      </c>
      <c r="D4325" t="s">
        <v>4437</v>
      </c>
      <c r="E4325" t="s">
        <v>4</v>
      </c>
      <c r="F4325">
        <v>2</v>
      </c>
      <c r="H4325" t="s">
        <v>5</v>
      </c>
      <c r="I4325" s="1">
        <v>49.69</v>
      </c>
      <c r="J4325" s="1">
        <v>47.78</v>
      </c>
      <c r="K4325" t="s">
        <v>6</v>
      </c>
    </row>
    <row r="4326" spans="1:11">
      <c r="A4326" t="s">
        <v>4225</v>
      </c>
      <c r="B4326">
        <v>419332</v>
      </c>
      <c r="C4326" s="2" t="str">
        <f>"T148FOYF"</f>
        <v>T148FOYF</v>
      </c>
      <c r="D4326" t="s">
        <v>4438</v>
      </c>
      <c r="E4326" t="s">
        <v>4</v>
      </c>
      <c r="F4326">
        <v>0.65</v>
      </c>
      <c r="H4326" t="s">
        <v>5</v>
      </c>
      <c r="I4326" s="1">
        <v>41.3</v>
      </c>
      <c r="J4326" s="1">
        <v>39.72</v>
      </c>
      <c r="K4326" t="s">
        <v>6</v>
      </c>
    </row>
    <row r="4327" spans="1:11">
      <c r="A4327" t="s">
        <v>4225</v>
      </c>
      <c r="B4327">
        <v>414117</v>
      </c>
      <c r="C4327" s="2" t="str">
        <f>"T148FSLF"</f>
        <v>T148FSLF</v>
      </c>
      <c r="D4327" t="s">
        <v>4439</v>
      </c>
      <c r="E4327" t="s">
        <v>4</v>
      </c>
      <c r="F4327">
        <v>0.9</v>
      </c>
      <c r="H4327" t="s">
        <v>5</v>
      </c>
      <c r="I4327" s="1">
        <v>45.97</v>
      </c>
      <c r="J4327" s="1">
        <v>44.2</v>
      </c>
      <c r="K4327" t="s">
        <v>6</v>
      </c>
    </row>
    <row r="4328" spans="1:11">
      <c r="A4328" t="s">
        <v>4225</v>
      </c>
      <c r="B4328">
        <v>420853</v>
      </c>
      <c r="C4328" s="2" t="str">
        <f>"T148KBBF"</f>
        <v>T148KBBF</v>
      </c>
      <c r="D4328" t="s">
        <v>4440</v>
      </c>
      <c r="E4328" t="s">
        <v>4</v>
      </c>
      <c r="F4328">
        <v>1.4</v>
      </c>
      <c r="H4328" t="s">
        <v>5</v>
      </c>
      <c r="I4328" s="1">
        <v>105.79</v>
      </c>
      <c r="J4328" s="1">
        <v>101.73</v>
      </c>
      <c r="K4328" t="s">
        <v>6</v>
      </c>
    </row>
    <row r="4329" spans="1:11">
      <c r="A4329" t="s">
        <v>4225</v>
      </c>
      <c r="B4329">
        <v>420852</v>
      </c>
      <c r="C4329" s="2" t="str">
        <f>"T148KDVF"</f>
        <v>T148KDVF</v>
      </c>
      <c r="D4329" t="s">
        <v>4441</v>
      </c>
      <c r="E4329" t="s">
        <v>4</v>
      </c>
      <c r="F4329">
        <v>3.5</v>
      </c>
      <c r="H4329" t="s">
        <v>5</v>
      </c>
      <c r="I4329" s="1">
        <v>76.86</v>
      </c>
      <c r="J4329" s="1">
        <v>73.91</v>
      </c>
      <c r="K4329" t="s">
        <v>6</v>
      </c>
    </row>
    <row r="4330" spans="1:11">
      <c r="A4330" t="s">
        <v>4225</v>
      </c>
      <c r="B4330">
        <v>414119</v>
      </c>
      <c r="C4330" s="2" t="str">
        <f>"T148KPSG"</f>
        <v>T148KPSG</v>
      </c>
      <c r="D4330" t="s">
        <v>4442</v>
      </c>
      <c r="E4330" t="s">
        <v>4</v>
      </c>
      <c r="F4330">
        <v>2.95</v>
      </c>
      <c r="H4330" t="s">
        <v>5</v>
      </c>
      <c r="I4330" s="1">
        <v>122.15</v>
      </c>
      <c r="J4330" s="1">
        <v>117.46</v>
      </c>
      <c r="K4330" t="s">
        <v>6</v>
      </c>
    </row>
    <row r="4331" spans="1:11">
      <c r="A4331" t="s">
        <v>4225</v>
      </c>
      <c r="B4331">
        <v>419333</v>
      </c>
      <c r="C4331" s="2" t="str">
        <f>"T148SADF"</f>
        <v>T148SADF</v>
      </c>
      <c r="D4331" t="s">
        <v>4443</v>
      </c>
      <c r="E4331" t="s">
        <v>4</v>
      </c>
      <c r="F4331">
        <v>0.45</v>
      </c>
      <c r="H4331" t="s">
        <v>5</v>
      </c>
      <c r="I4331" s="1">
        <v>25.55</v>
      </c>
      <c r="J4331" s="1">
        <v>24.57</v>
      </c>
      <c r="K4331" t="s">
        <v>6</v>
      </c>
    </row>
    <row r="4332" spans="1:11">
      <c r="A4332" t="s">
        <v>4225</v>
      </c>
      <c r="B4332">
        <v>414115</v>
      </c>
      <c r="C4332" s="2" t="str">
        <f>"T148SDEF"</f>
        <v>T148SDEF</v>
      </c>
      <c r="D4332" t="s">
        <v>4444</v>
      </c>
      <c r="E4332" t="s">
        <v>4</v>
      </c>
      <c r="F4332">
        <v>1.6</v>
      </c>
      <c r="H4332" t="s">
        <v>5</v>
      </c>
      <c r="I4332" s="1">
        <v>45.97</v>
      </c>
      <c r="J4332" s="1">
        <v>44.2</v>
      </c>
      <c r="K4332" t="s">
        <v>6</v>
      </c>
    </row>
    <row r="4333" spans="1:11">
      <c r="A4333" t="s">
        <v>4225</v>
      </c>
      <c r="B4333">
        <v>414116</v>
      </c>
      <c r="C4333" s="2" t="str">
        <f>"T148SITF"</f>
        <v>T148SITF</v>
      </c>
      <c r="D4333" t="s">
        <v>4445</v>
      </c>
      <c r="E4333" t="s">
        <v>4</v>
      </c>
      <c r="F4333">
        <v>0.85</v>
      </c>
      <c r="H4333" t="s">
        <v>5</v>
      </c>
      <c r="I4333" s="1">
        <v>41.3</v>
      </c>
      <c r="J4333" s="1">
        <v>39.72</v>
      </c>
      <c r="K4333" t="s">
        <v>6</v>
      </c>
    </row>
    <row r="4334" spans="1:11">
      <c r="A4334" t="s">
        <v>4225</v>
      </c>
      <c r="B4334">
        <v>414112</v>
      </c>
      <c r="C4334" s="2" t="str">
        <f>"T148STSF"</f>
        <v>T148STSF</v>
      </c>
      <c r="D4334" t="s">
        <v>4446</v>
      </c>
      <c r="E4334" t="s">
        <v>4</v>
      </c>
      <c r="F4334">
        <v>1</v>
      </c>
      <c r="H4334" t="s">
        <v>5</v>
      </c>
      <c r="I4334" s="1">
        <v>23.73</v>
      </c>
      <c r="J4334" s="1">
        <v>22.82</v>
      </c>
      <c r="K4334" t="s">
        <v>6</v>
      </c>
    </row>
    <row r="4335" spans="1:11">
      <c r="A4335" t="s">
        <v>4225</v>
      </c>
      <c r="B4335">
        <v>446312</v>
      </c>
      <c r="C4335" s="2" t="str">
        <f>"T168FDEF"</f>
        <v>T168FDEF</v>
      </c>
      <c r="D4335" t="s">
        <v>4447</v>
      </c>
      <c r="E4335" t="s">
        <v>4</v>
      </c>
      <c r="F4335">
        <v>1.3</v>
      </c>
      <c r="H4335" t="s">
        <v>5</v>
      </c>
      <c r="I4335" s="1">
        <v>48.94</v>
      </c>
      <c r="J4335" s="1">
        <v>47.06</v>
      </c>
      <c r="K4335" t="s">
        <v>6</v>
      </c>
    </row>
    <row r="4336" spans="1:11">
      <c r="A4336" t="s">
        <v>4225</v>
      </c>
      <c r="B4336">
        <v>433225</v>
      </c>
      <c r="C4336" s="2" t="str">
        <f>"T168FDIF"</f>
        <v>T168FDIF</v>
      </c>
      <c r="D4336" t="s">
        <v>4448</v>
      </c>
      <c r="E4336" t="s">
        <v>4</v>
      </c>
      <c r="F4336">
        <v>2</v>
      </c>
      <c r="H4336" t="s">
        <v>5</v>
      </c>
      <c r="I4336" s="1">
        <v>63.68</v>
      </c>
      <c r="J4336" s="1">
        <v>61.23</v>
      </c>
      <c r="K4336" t="s">
        <v>6</v>
      </c>
    </row>
    <row r="4337" spans="1:11">
      <c r="A4337" t="s">
        <v>4225</v>
      </c>
      <c r="B4337">
        <v>433226</v>
      </c>
      <c r="C4337" s="2" t="str">
        <f>"T168KPTF"</f>
        <v>T168KPTF</v>
      </c>
      <c r="D4337" t="s">
        <v>4449</v>
      </c>
      <c r="E4337" t="s">
        <v>4</v>
      </c>
      <c r="F4337">
        <v>3.7</v>
      </c>
      <c r="H4337" t="s">
        <v>5</v>
      </c>
      <c r="I4337" s="1">
        <v>73.209999999999994</v>
      </c>
      <c r="J4337" s="1">
        <v>70.400000000000006</v>
      </c>
      <c r="K4337" t="s">
        <v>6</v>
      </c>
    </row>
    <row r="4338" spans="1:11">
      <c r="A4338" t="s">
        <v>4225</v>
      </c>
      <c r="B4338">
        <v>433223</v>
      </c>
      <c r="C4338" s="2" t="str">
        <f>"T168STSF"</f>
        <v>T168STSF</v>
      </c>
      <c r="D4338" t="s">
        <v>4450</v>
      </c>
      <c r="E4338" t="s">
        <v>4</v>
      </c>
      <c r="F4338">
        <v>1.18</v>
      </c>
      <c r="H4338" t="s">
        <v>5</v>
      </c>
      <c r="I4338" s="1">
        <v>34.270000000000003</v>
      </c>
      <c r="J4338" s="1">
        <v>32.96</v>
      </c>
      <c r="K4338" t="s">
        <v>6</v>
      </c>
    </row>
    <row r="4339" spans="1:11">
      <c r="A4339" t="s">
        <v>4225</v>
      </c>
      <c r="B4339">
        <v>444419</v>
      </c>
      <c r="C4339" s="2" t="str">
        <f>"T672FDEF"</f>
        <v>T672FDEF</v>
      </c>
      <c r="D4339" t="s">
        <v>4451</v>
      </c>
      <c r="E4339" t="s">
        <v>4</v>
      </c>
      <c r="F4339">
        <v>1.8</v>
      </c>
      <c r="H4339" t="s">
        <v>5</v>
      </c>
      <c r="I4339" s="1">
        <v>84.91</v>
      </c>
      <c r="J4339" s="1">
        <v>81.64</v>
      </c>
      <c r="K4339" t="s">
        <v>6</v>
      </c>
    </row>
    <row r="4340" spans="1:11">
      <c r="A4340" t="s">
        <v>4225</v>
      </c>
      <c r="B4340">
        <v>444418</v>
      </c>
      <c r="C4340" s="2" t="str">
        <f>"T672FDIF"</f>
        <v>T672FDIF</v>
      </c>
      <c r="D4340" t="s">
        <v>4452</v>
      </c>
      <c r="E4340" t="s">
        <v>4</v>
      </c>
      <c r="F4340">
        <v>2.44</v>
      </c>
      <c r="H4340" t="s">
        <v>5</v>
      </c>
      <c r="I4340" s="1">
        <v>110.39</v>
      </c>
      <c r="J4340" s="1">
        <v>106.15</v>
      </c>
      <c r="K4340" t="s">
        <v>6</v>
      </c>
    </row>
    <row r="4341" spans="1:11">
      <c r="A4341" t="s">
        <v>4225</v>
      </c>
      <c r="B4341">
        <v>444420</v>
      </c>
      <c r="C4341" s="2" t="str">
        <f>"T672KPTF"</f>
        <v>T672KPTF</v>
      </c>
      <c r="D4341" t="s">
        <v>4453</v>
      </c>
      <c r="E4341" t="s">
        <v>4</v>
      </c>
      <c r="F4341">
        <v>4.0199999999999996</v>
      </c>
      <c r="H4341" t="s">
        <v>5</v>
      </c>
      <c r="I4341" s="1">
        <v>127.56</v>
      </c>
      <c r="J4341" s="1">
        <v>122.66</v>
      </c>
      <c r="K4341" t="s">
        <v>6</v>
      </c>
    </row>
    <row r="4342" spans="1:11">
      <c r="A4342" t="s">
        <v>4225</v>
      </c>
      <c r="B4342">
        <v>466722</v>
      </c>
      <c r="C4342" s="2" t="str">
        <f>"T672SRBF"</f>
        <v>T672SRBF</v>
      </c>
      <c r="D4342" t="s">
        <v>4454</v>
      </c>
      <c r="E4342" t="s">
        <v>4</v>
      </c>
      <c r="F4342">
        <v>2.42</v>
      </c>
      <c r="H4342" t="s">
        <v>5</v>
      </c>
      <c r="I4342" s="1">
        <v>84.91</v>
      </c>
      <c r="J4342" s="1">
        <v>81.64</v>
      </c>
      <c r="K4342" t="s">
        <v>6</v>
      </c>
    </row>
    <row r="4343" spans="1:11">
      <c r="A4343" t="s">
        <v>4225</v>
      </c>
      <c r="B4343">
        <v>444416</v>
      </c>
      <c r="C4343" s="2" t="str">
        <f>"T672STSF"</f>
        <v>T672STSF</v>
      </c>
      <c r="D4343" t="s">
        <v>4455</v>
      </c>
      <c r="E4343" t="s">
        <v>4</v>
      </c>
      <c r="F4343">
        <v>1.54</v>
      </c>
      <c r="H4343" t="s">
        <v>5</v>
      </c>
      <c r="I4343" s="1">
        <v>59.56</v>
      </c>
      <c r="J4343" s="1">
        <v>57.27</v>
      </c>
      <c r="K4343" t="s">
        <v>6</v>
      </c>
    </row>
    <row r="4344" spans="1:11">
      <c r="A4344" t="s">
        <v>4456</v>
      </c>
      <c r="B4344">
        <v>369045</v>
      </c>
      <c r="C4344" s="2" t="str">
        <f>"R4110000111"</f>
        <v>R4110000111</v>
      </c>
      <c r="D4344" t="s">
        <v>4457</v>
      </c>
      <c r="E4344" t="s">
        <v>4</v>
      </c>
      <c r="F4344">
        <v>17.399999999999999</v>
      </c>
      <c r="H4344" t="s">
        <v>5</v>
      </c>
      <c r="I4344" s="1">
        <v>50.9</v>
      </c>
      <c r="J4344" s="1">
        <v>48.95</v>
      </c>
      <c r="K4344" t="s">
        <v>6</v>
      </c>
    </row>
    <row r="4345" spans="1:11">
      <c r="A4345" t="s">
        <v>4456</v>
      </c>
      <c r="B4345">
        <v>369046</v>
      </c>
      <c r="C4345" s="2" t="str">
        <f>"R4110000118"</f>
        <v>R4110000118</v>
      </c>
      <c r="D4345" t="s">
        <v>4458</v>
      </c>
      <c r="E4345" t="s">
        <v>4</v>
      </c>
      <c r="F4345">
        <v>26.1</v>
      </c>
      <c r="H4345" t="s">
        <v>5</v>
      </c>
      <c r="I4345" s="1">
        <v>59.83</v>
      </c>
      <c r="J4345" s="1">
        <v>57.53</v>
      </c>
      <c r="K4345" t="s">
        <v>6</v>
      </c>
    </row>
    <row r="4346" spans="1:11">
      <c r="A4346" t="s">
        <v>4456</v>
      </c>
      <c r="B4346">
        <v>371439</v>
      </c>
      <c r="C4346" s="2" t="str">
        <f>"R4110000125"</f>
        <v>R4110000125</v>
      </c>
      <c r="D4346" t="s">
        <v>4459</v>
      </c>
      <c r="E4346" t="s">
        <v>4</v>
      </c>
      <c r="F4346">
        <v>48</v>
      </c>
      <c r="H4346" t="s">
        <v>5</v>
      </c>
      <c r="I4346" s="1">
        <v>77.47</v>
      </c>
      <c r="J4346" s="1">
        <v>74.489999999999995</v>
      </c>
      <c r="K4346" t="s">
        <v>6</v>
      </c>
    </row>
    <row r="4347" spans="1:11">
      <c r="A4347" t="s">
        <v>4456</v>
      </c>
      <c r="B4347">
        <v>369037</v>
      </c>
      <c r="C4347" s="2" t="str">
        <f>"R4110000139"</f>
        <v>R4110000139</v>
      </c>
      <c r="D4347" t="s">
        <v>4460</v>
      </c>
      <c r="E4347" t="s">
        <v>4</v>
      </c>
      <c r="F4347">
        <v>41.25</v>
      </c>
      <c r="H4347" t="s">
        <v>5</v>
      </c>
      <c r="I4347" s="1">
        <v>82.61</v>
      </c>
      <c r="J4347" s="1">
        <v>79.430000000000007</v>
      </c>
      <c r="K4347" t="s">
        <v>6</v>
      </c>
    </row>
    <row r="4348" spans="1:11">
      <c r="A4348" t="s">
        <v>4456</v>
      </c>
      <c r="B4348">
        <v>369040</v>
      </c>
      <c r="C4348" s="2" t="str">
        <f>"R4110000359"</f>
        <v>R4110000359</v>
      </c>
      <c r="D4348" t="s">
        <v>4461</v>
      </c>
      <c r="E4348" t="s">
        <v>4</v>
      </c>
      <c r="F4348">
        <v>29.1</v>
      </c>
      <c r="H4348" t="s">
        <v>5</v>
      </c>
      <c r="I4348" s="1">
        <v>97.01</v>
      </c>
      <c r="J4348" s="1">
        <v>93.28</v>
      </c>
      <c r="K4348" t="s">
        <v>6</v>
      </c>
    </row>
    <row r="4349" spans="1:11">
      <c r="A4349" t="s">
        <v>4456</v>
      </c>
      <c r="B4349">
        <v>369024</v>
      </c>
      <c r="C4349" s="2" t="str">
        <f>"R4110000710"</f>
        <v>R4110000710</v>
      </c>
      <c r="D4349" t="s">
        <v>4462</v>
      </c>
      <c r="E4349" t="s">
        <v>4</v>
      </c>
      <c r="F4349">
        <v>16.8</v>
      </c>
      <c r="H4349" t="s">
        <v>5</v>
      </c>
      <c r="I4349" s="1">
        <v>47.66</v>
      </c>
      <c r="J4349" s="1">
        <v>45.83</v>
      </c>
      <c r="K4349" t="s">
        <v>6</v>
      </c>
    </row>
    <row r="4350" spans="1:11">
      <c r="A4350" t="s">
        <v>4456</v>
      </c>
      <c r="B4350">
        <v>369656</v>
      </c>
      <c r="C4350" s="2" t="str">
        <f>"R4130000111"</f>
        <v>R4130000111</v>
      </c>
      <c r="D4350" t="s">
        <v>4463</v>
      </c>
      <c r="E4350" t="s">
        <v>4</v>
      </c>
      <c r="F4350">
        <v>22</v>
      </c>
      <c r="H4350" t="s">
        <v>5</v>
      </c>
      <c r="I4350" s="1">
        <v>50.9</v>
      </c>
      <c r="J4350" s="1">
        <v>48.95</v>
      </c>
      <c r="K4350" t="s">
        <v>6</v>
      </c>
    </row>
    <row r="4351" spans="1:11">
      <c r="A4351" t="s">
        <v>4456</v>
      </c>
      <c r="B4351">
        <v>369025</v>
      </c>
      <c r="C4351" s="2" t="str">
        <f>"R4130000139"</f>
        <v>R4130000139</v>
      </c>
      <c r="D4351" t="s">
        <v>4464</v>
      </c>
      <c r="E4351" t="s">
        <v>4</v>
      </c>
      <c r="F4351">
        <v>40</v>
      </c>
      <c r="H4351" t="s">
        <v>5</v>
      </c>
      <c r="I4351" s="1">
        <v>82.61</v>
      </c>
      <c r="J4351" s="1">
        <v>79.430000000000007</v>
      </c>
      <c r="K4351" t="s">
        <v>6</v>
      </c>
    </row>
    <row r="4352" spans="1:11">
      <c r="A4352" t="s">
        <v>4456</v>
      </c>
      <c r="B4352">
        <v>370928</v>
      </c>
      <c r="C4352" s="2" t="str">
        <f>"R4130000145"</f>
        <v>R4130000145</v>
      </c>
      <c r="D4352" t="s">
        <v>4465</v>
      </c>
      <c r="E4352" t="s">
        <v>4</v>
      </c>
      <c r="F4352">
        <v>46.6</v>
      </c>
      <c r="H4352" t="s">
        <v>5</v>
      </c>
      <c r="I4352" s="1">
        <v>100.59</v>
      </c>
      <c r="J4352" s="1">
        <v>96.72</v>
      </c>
      <c r="K4352" t="s">
        <v>6</v>
      </c>
    </row>
    <row r="4353" spans="1:11">
      <c r="A4353" t="s">
        <v>4456</v>
      </c>
      <c r="B4353">
        <v>369079</v>
      </c>
      <c r="C4353" s="2" t="str">
        <f>"R4130000149"</f>
        <v>R4130000149</v>
      </c>
      <c r="D4353" t="s">
        <v>4466</v>
      </c>
      <c r="E4353" t="s">
        <v>4</v>
      </c>
      <c r="F4353">
        <v>28</v>
      </c>
      <c r="H4353" t="s">
        <v>5</v>
      </c>
      <c r="I4353" s="1">
        <v>81.260000000000005</v>
      </c>
      <c r="J4353" s="1">
        <v>78.13</v>
      </c>
      <c r="K4353" t="s">
        <v>6</v>
      </c>
    </row>
    <row r="4354" spans="1:11">
      <c r="A4354" t="s">
        <v>4456</v>
      </c>
      <c r="B4354">
        <v>369088</v>
      </c>
      <c r="C4354" s="2" t="str">
        <f>"R4130000510"</f>
        <v>R4130000510</v>
      </c>
      <c r="D4354" t="s">
        <v>4467</v>
      </c>
      <c r="E4354" t="s">
        <v>4</v>
      </c>
      <c r="F4354">
        <v>27.9</v>
      </c>
      <c r="H4354" t="s">
        <v>5</v>
      </c>
      <c r="I4354" s="1">
        <v>68.75</v>
      </c>
      <c r="J4354" s="1">
        <v>66.11</v>
      </c>
      <c r="K4354" t="s">
        <v>6</v>
      </c>
    </row>
    <row r="4355" spans="1:11">
      <c r="A4355" t="s">
        <v>4456</v>
      </c>
      <c r="B4355">
        <v>369059</v>
      </c>
      <c r="C4355" s="2" t="str">
        <f>"R4130000560"</f>
        <v>R4130000560</v>
      </c>
      <c r="D4355" t="s">
        <v>4468</v>
      </c>
      <c r="E4355" t="s">
        <v>4</v>
      </c>
      <c r="F4355">
        <v>29.4</v>
      </c>
      <c r="H4355" t="s">
        <v>5</v>
      </c>
      <c r="I4355" s="1">
        <v>88.62</v>
      </c>
      <c r="J4355" s="1">
        <v>85.22</v>
      </c>
      <c r="K4355" t="s">
        <v>6</v>
      </c>
    </row>
    <row r="4356" spans="1:11">
      <c r="A4356" t="s">
        <v>4456</v>
      </c>
      <c r="B4356">
        <v>369069</v>
      </c>
      <c r="C4356" s="2" t="str">
        <f>"R4130000561"</f>
        <v>R4130000561</v>
      </c>
      <c r="D4356" t="s">
        <v>4469</v>
      </c>
      <c r="E4356" t="s">
        <v>4</v>
      </c>
      <c r="F4356">
        <v>54</v>
      </c>
      <c r="H4356" t="s">
        <v>5</v>
      </c>
      <c r="I4356" s="1">
        <v>88.62</v>
      </c>
      <c r="J4356" s="1">
        <v>85.22</v>
      </c>
      <c r="K4356" t="s">
        <v>6</v>
      </c>
    </row>
    <row r="4357" spans="1:11">
      <c r="A4357" t="s">
        <v>4456</v>
      </c>
      <c r="B4357">
        <v>388585</v>
      </c>
      <c r="C4357" s="2" t="str">
        <f>"R4130000562"</f>
        <v>R4130000562</v>
      </c>
      <c r="D4357" t="s">
        <v>4470</v>
      </c>
      <c r="E4357" t="s">
        <v>4</v>
      </c>
      <c r="F4357">
        <v>40.1</v>
      </c>
      <c r="H4357" t="s">
        <v>5</v>
      </c>
      <c r="I4357" s="1">
        <v>88.62</v>
      </c>
      <c r="J4357" s="1">
        <v>85.22</v>
      </c>
      <c r="K4357" t="s">
        <v>6</v>
      </c>
    </row>
    <row r="4358" spans="1:11">
      <c r="A4358" t="s">
        <v>4456</v>
      </c>
      <c r="B4358">
        <v>369063</v>
      </c>
      <c r="C4358" s="2" t="str">
        <f>"R4130000700"</f>
        <v>R4130000700</v>
      </c>
      <c r="D4358" t="s">
        <v>4471</v>
      </c>
      <c r="E4358" t="s">
        <v>4</v>
      </c>
      <c r="F4358">
        <v>23.7</v>
      </c>
      <c r="H4358" t="s">
        <v>5</v>
      </c>
      <c r="I4358" s="1">
        <v>68.75</v>
      </c>
      <c r="J4358" s="1">
        <v>66.11</v>
      </c>
      <c r="K4358" t="s">
        <v>6</v>
      </c>
    </row>
    <row r="4359" spans="1:11">
      <c r="A4359" t="s">
        <v>4456</v>
      </c>
      <c r="B4359">
        <v>369053</v>
      </c>
      <c r="C4359" s="2" t="str">
        <f>"R4130000711"</f>
        <v>R4130000711</v>
      </c>
      <c r="D4359" t="s">
        <v>4472</v>
      </c>
      <c r="E4359" t="s">
        <v>4</v>
      </c>
      <c r="F4359">
        <v>16</v>
      </c>
      <c r="H4359" t="s">
        <v>5</v>
      </c>
      <c r="I4359" s="1">
        <v>47.66</v>
      </c>
      <c r="J4359" s="1">
        <v>45.83</v>
      </c>
      <c r="K4359" t="s">
        <v>6</v>
      </c>
    </row>
    <row r="4360" spans="1:11">
      <c r="A4360" t="s">
        <v>4456</v>
      </c>
      <c r="B4360">
        <v>369018</v>
      </c>
      <c r="C4360" s="2" t="str">
        <f>"R4130000720"</f>
        <v>R4130000720</v>
      </c>
      <c r="D4360" t="s">
        <v>4473</v>
      </c>
      <c r="E4360" t="s">
        <v>4</v>
      </c>
      <c r="F4360">
        <v>32</v>
      </c>
      <c r="H4360" t="s">
        <v>5</v>
      </c>
      <c r="I4360" s="1">
        <v>87.41</v>
      </c>
      <c r="J4360" s="1">
        <v>84.05</v>
      </c>
      <c r="K4360" t="s">
        <v>6</v>
      </c>
    </row>
    <row r="4361" spans="1:11">
      <c r="A4361" t="s">
        <v>4456</v>
      </c>
      <c r="B4361">
        <v>369060</v>
      </c>
      <c r="C4361" s="2" t="str">
        <f>"R4130000731"</f>
        <v>R4130000731</v>
      </c>
      <c r="D4361" t="s">
        <v>4474</v>
      </c>
      <c r="E4361" t="s">
        <v>4</v>
      </c>
      <c r="F4361">
        <v>38.1</v>
      </c>
      <c r="H4361" t="s">
        <v>5</v>
      </c>
      <c r="I4361" s="1">
        <v>115.39</v>
      </c>
      <c r="J4361" s="1">
        <v>110.96</v>
      </c>
      <c r="K4361" t="s">
        <v>6</v>
      </c>
    </row>
    <row r="4362" spans="1:11">
      <c r="A4362" t="s">
        <v>4456</v>
      </c>
      <c r="B4362">
        <v>369014</v>
      </c>
      <c r="C4362" s="2" t="str">
        <f>"R4130000740"</f>
        <v>R4130000740</v>
      </c>
      <c r="D4362" t="s">
        <v>4475</v>
      </c>
      <c r="E4362" t="s">
        <v>4</v>
      </c>
      <c r="F4362">
        <v>42.8</v>
      </c>
      <c r="H4362" t="s">
        <v>5</v>
      </c>
      <c r="I4362" s="1">
        <v>98.7</v>
      </c>
      <c r="J4362" s="1">
        <v>94.9</v>
      </c>
      <c r="K4362" t="s">
        <v>6</v>
      </c>
    </row>
    <row r="4363" spans="1:11">
      <c r="A4363" t="s">
        <v>4456</v>
      </c>
      <c r="B4363">
        <v>369659</v>
      </c>
      <c r="C4363" s="2" t="str">
        <f>"R4130000790"</f>
        <v>R4130000790</v>
      </c>
      <c r="D4363" t="s">
        <v>4476</v>
      </c>
      <c r="E4363" t="s">
        <v>4</v>
      </c>
      <c r="F4363">
        <v>30</v>
      </c>
      <c r="H4363" t="s">
        <v>5</v>
      </c>
      <c r="I4363" s="1">
        <v>186.98</v>
      </c>
      <c r="J4363" s="1">
        <v>179.79</v>
      </c>
      <c r="K4363" t="s">
        <v>6</v>
      </c>
    </row>
    <row r="4364" spans="1:11">
      <c r="A4364" t="s">
        <v>4456</v>
      </c>
      <c r="B4364">
        <v>369057</v>
      </c>
      <c r="C4364" s="2" t="str">
        <f>"R4170000680"</f>
        <v>R4170000680</v>
      </c>
      <c r="D4364" t="s">
        <v>4477</v>
      </c>
      <c r="E4364" t="s">
        <v>4</v>
      </c>
      <c r="F4364">
        <v>25</v>
      </c>
      <c r="H4364" t="s">
        <v>5</v>
      </c>
      <c r="I4364" s="1">
        <v>137.36000000000001</v>
      </c>
      <c r="J4364" s="1">
        <v>132.08000000000001</v>
      </c>
      <c r="K4364" t="s">
        <v>6</v>
      </c>
    </row>
    <row r="4365" spans="1:11">
      <c r="A4365" t="s">
        <v>4456</v>
      </c>
      <c r="B4365">
        <v>378403</v>
      </c>
      <c r="C4365" s="2" t="str">
        <f>"R4238026139"</f>
        <v>R4238026139</v>
      </c>
      <c r="D4365" t="s">
        <v>4478</v>
      </c>
      <c r="E4365" t="s">
        <v>4</v>
      </c>
      <c r="F4365">
        <v>37.5</v>
      </c>
      <c r="H4365" t="s">
        <v>5</v>
      </c>
      <c r="I4365" s="1">
        <v>88.29</v>
      </c>
      <c r="J4365" s="1">
        <v>84.89</v>
      </c>
      <c r="K4365" t="s">
        <v>6</v>
      </c>
    </row>
    <row r="4366" spans="1:11">
      <c r="A4366" t="s">
        <v>4456</v>
      </c>
      <c r="B4366">
        <v>369072</v>
      </c>
      <c r="C4366" s="2" t="str">
        <f>"R4238026143"</f>
        <v>R4238026143</v>
      </c>
      <c r="D4366" t="s">
        <v>4479</v>
      </c>
      <c r="E4366" t="s">
        <v>4</v>
      </c>
      <c r="F4366">
        <v>44.1</v>
      </c>
      <c r="H4366" t="s">
        <v>5</v>
      </c>
      <c r="I4366" s="1">
        <v>97.07</v>
      </c>
      <c r="J4366" s="1">
        <v>93.34</v>
      </c>
      <c r="K4366" t="s">
        <v>6</v>
      </c>
    </row>
    <row r="4367" spans="1:11">
      <c r="A4367" t="s">
        <v>4456</v>
      </c>
      <c r="B4367">
        <v>369042</v>
      </c>
      <c r="C4367" s="2" t="str">
        <f>"R4238026359"</f>
        <v>R4238026359</v>
      </c>
      <c r="D4367" t="s">
        <v>4480</v>
      </c>
      <c r="E4367" t="s">
        <v>4</v>
      </c>
      <c r="F4367">
        <v>52.5</v>
      </c>
      <c r="H4367" t="s">
        <v>5</v>
      </c>
      <c r="I4367" s="1">
        <v>228.22</v>
      </c>
      <c r="J4367" s="1">
        <v>219.44</v>
      </c>
      <c r="K4367" t="s">
        <v>6</v>
      </c>
    </row>
    <row r="4368" spans="1:11">
      <c r="A4368" t="s">
        <v>4456</v>
      </c>
      <c r="B4368">
        <v>370849</v>
      </c>
      <c r="C4368" s="2" t="str">
        <f>"R4238026501"</f>
        <v>R4238026501</v>
      </c>
      <c r="D4368" t="s">
        <v>4481</v>
      </c>
      <c r="E4368" t="s">
        <v>4</v>
      </c>
      <c r="F4368">
        <v>20.9</v>
      </c>
      <c r="H4368" t="s">
        <v>5</v>
      </c>
      <c r="I4368" s="1">
        <v>54.96</v>
      </c>
      <c r="J4368" s="1">
        <v>52.85</v>
      </c>
      <c r="K4368" t="s">
        <v>6</v>
      </c>
    </row>
    <row r="4369" spans="1:11">
      <c r="A4369" t="s">
        <v>4456</v>
      </c>
      <c r="B4369">
        <v>369050</v>
      </c>
      <c r="C4369" s="2" t="str">
        <f>"R4238026560"</f>
        <v>R4238026560</v>
      </c>
      <c r="D4369" t="s">
        <v>4482</v>
      </c>
      <c r="E4369" t="s">
        <v>4</v>
      </c>
      <c r="F4369">
        <v>32.5</v>
      </c>
      <c r="H4369" t="s">
        <v>5</v>
      </c>
      <c r="I4369" s="1">
        <v>103.83</v>
      </c>
      <c r="J4369" s="1">
        <v>99.84</v>
      </c>
      <c r="K4369" t="s">
        <v>6</v>
      </c>
    </row>
    <row r="4370" spans="1:11">
      <c r="A4370" t="s">
        <v>4456</v>
      </c>
      <c r="B4370">
        <v>378407</v>
      </c>
      <c r="C4370" s="2" t="str">
        <f>"R4238026710"</f>
        <v>R4238026710</v>
      </c>
      <c r="D4370" t="s">
        <v>4483</v>
      </c>
      <c r="E4370" t="s">
        <v>4</v>
      </c>
      <c r="F4370">
        <v>18.7</v>
      </c>
      <c r="H4370" t="s">
        <v>5</v>
      </c>
      <c r="I4370" s="1">
        <v>58.2</v>
      </c>
      <c r="J4370" s="1">
        <v>55.97</v>
      </c>
      <c r="K4370" t="s">
        <v>6</v>
      </c>
    </row>
    <row r="4371" spans="1:11">
      <c r="A4371" t="s">
        <v>4456</v>
      </c>
      <c r="B4371">
        <v>423227</v>
      </c>
      <c r="C4371" s="2" t="str">
        <f>"R4480000502"</f>
        <v>R4480000502</v>
      </c>
      <c r="D4371" t="s">
        <v>4484</v>
      </c>
      <c r="E4371" t="s">
        <v>4</v>
      </c>
      <c r="F4371">
        <v>19.100000000000001</v>
      </c>
      <c r="H4371" t="s">
        <v>5</v>
      </c>
      <c r="I4371" s="1">
        <v>32.14</v>
      </c>
      <c r="J4371" s="1">
        <v>31.2</v>
      </c>
      <c r="K4371" t="s">
        <v>6</v>
      </c>
    </row>
    <row r="4372" spans="1:11">
      <c r="A4372" t="s">
        <v>4456</v>
      </c>
      <c r="B4372">
        <v>423207</v>
      </c>
      <c r="C4372" s="2" t="str">
        <f>"R4480000508"</f>
        <v>R4480000508</v>
      </c>
      <c r="D4372" t="s">
        <v>4485</v>
      </c>
      <c r="E4372" t="s">
        <v>4</v>
      </c>
      <c r="F4372">
        <v>11</v>
      </c>
      <c r="H4372" t="s">
        <v>5</v>
      </c>
      <c r="I4372" s="1">
        <v>30.01</v>
      </c>
      <c r="J4372" s="1">
        <v>29.13</v>
      </c>
      <c r="K4372" t="s">
        <v>6</v>
      </c>
    </row>
    <row r="4373" spans="1:11">
      <c r="A4373" t="s">
        <v>4456</v>
      </c>
      <c r="B4373">
        <v>423221</v>
      </c>
      <c r="C4373" s="2" t="str">
        <f>"R4480000530"</f>
        <v>R4480000530</v>
      </c>
      <c r="D4373" t="s">
        <v>4486</v>
      </c>
      <c r="E4373" t="s">
        <v>4</v>
      </c>
      <c r="F4373">
        <v>19.649999999999999</v>
      </c>
      <c r="H4373" t="s">
        <v>5</v>
      </c>
      <c r="I4373" s="1">
        <v>36.229999999999997</v>
      </c>
      <c r="J4373" s="1">
        <v>35.18</v>
      </c>
      <c r="K4373" t="s">
        <v>6</v>
      </c>
    </row>
    <row r="4374" spans="1:11">
      <c r="A4374" t="s">
        <v>4456</v>
      </c>
      <c r="B4374">
        <v>423206</v>
      </c>
      <c r="C4374" s="2" t="str">
        <f>"R4480000535"</f>
        <v>R4480000535</v>
      </c>
      <c r="D4374" t="s">
        <v>4487</v>
      </c>
      <c r="E4374" t="s">
        <v>4</v>
      </c>
      <c r="F4374">
        <v>12</v>
      </c>
      <c r="H4374" t="s">
        <v>5</v>
      </c>
      <c r="I4374" s="1">
        <v>30.13</v>
      </c>
      <c r="J4374" s="1">
        <v>29.25</v>
      </c>
      <c r="K4374" t="s">
        <v>6</v>
      </c>
    </row>
    <row r="4375" spans="1:11">
      <c r="A4375" t="s">
        <v>4488</v>
      </c>
      <c r="B4375">
        <v>370706</v>
      </c>
      <c r="C4375" s="2" t="str">
        <f>"2201FDNF"</f>
        <v>2201FDNF</v>
      </c>
      <c r="D4375" t="s">
        <v>4489</v>
      </c>
      <c r="E4375" t="s">
        <v>4</v>
      </c>
      <c r="F4375">
        <v>3.45</v>
      </c>
      <c r="H4375" t="s">
        <v>5</v>
      </c>
      <c r="I4375" s="1">
        <v>231.8</v>
      </c>
      <c r="J4375" s="1">
        <v>222.89</v>
      </c>
      <c r="K4375" t="s">
        <v>6</v>
      </c>
    </row>
    <row r="4376" spans="1:11">
      <c r="A4376" t="s">
        <v>4488</v>
      </c>
      <c r="B4376">
        <v>380999</v>
      </c>
      <c r="C4376" s="2" t="str">
        <f>"2201FSLF"</f>
        <v>2201FSLF</v>
      </c>
      <c r="D4376" t="s">
        <v>4490</v>
      </c>
      <c r="E4376" t="s">
        <v>4</v>
      </c>
      <c r="F4376">
        <v>3.1</v>
      </c>
      <c r="H4376" t="s">
        <v>5</v>
      </c>
      <c r="I4376" s="1">
        <v>213.95</v>
      </c>
      <c r="J4376" s="1">
        <v>205.73</v>
      </c>
      <c r="K4376" t="s">
        <v>6</v>
      </c>
    </row>
    <row r="4377" spans="1:11">
      <c r="A4377" t="s">
        <v>4488</v>
      </c>
      <c r="B4377">
        <v>381005</v>
      </c>
      <c r="C4377" s="2" t="str">
        <f>"2201KPVF"</f>
        <v>2201KPVF</v>
      </c>
      <c r="D4377" t="s">
        <v>4491</v>
      </c>
      <c r="E4377" t="s">
        <v>4</v>
      </c>
      <c r="F4377">
        <v>7.15</v>
      </c>
      <c r="H4377" t="s">
        <v>5</v>
      </c>
      <c r="I4377" s="1">
        <v>320.02</v>
      </c>
      <c r="J4377" s="1">
        <v>307.70999999999998</v>
      </c>
      <c r="K4377" t="s">
        <v>6</v>
      </c>
    </row>
    <row r="4378" spans="1:11">
      <c r="A4378" t="s">
        <v>4488</v>
      </c>
      <c r="B4378">
        <v>381001</v>
      </c>
      <c r="C4378" s="2" t="str">
        <f>"2201SBLF"</f>
        <v>2201SBLF</v>
      </c>
      <c r="D4378" t="s">
        <v>4492</v>
      </c>
      <c r="E4378" t="s">
        <v>4</v>
      </c>
      <c r="F4378">
        <v>2.5499999999999998</v>
      </c>
      <c r="H4378" t="s">
        <v>5</v>
      </c>
      <c r="I4378" s="1">
        <v>213.95</v>
      </c>
      <c r="J4378" s="1">
        <v>205.73</v>
      </c>
      <c r="K4378" t="s">
        <v>6</v>
      </c>
    </row>
    <row r="4379" spans="1:11">
      <c r="A4379" t="s">
        <v>4488</v>
      </c>
      <c r="B4379">
        <v>381003</v>
      </c>
      <c r="C4379" s="2" t="str">
        <f>"2201SITF"</f>
        <v>2201SITF</v>
      </c>
      <c r="D4379" t="s">
        <v>4493</v>
      </c>
      <c r="E4379" t="s">
        <v>4</v>
      </c>
      <c r="F4379">
        <v>2.6</v>
      </c>
      <c r="H4379" t="s">
        <v>5</v>
      </c>
      <c r="I4379" s="1">
        <v>191.65</v>
      </c>
      <c r="J4379" s="1">
        <v>184.28</v>
      </c>
      <c r="K4379" t="s">
        <v>6</v>
      </c>
    </row>
    <row r="4380" spans="1:11">
      <c r="A4380" t="s">
        <v>4488</v>
      </c>
      <c r="B4380">
        <v>381000</v>
      </c>
      <c r="C4380" s="2" t="str">
        <f>"2201STSF"</f>
        <v>2201STSF</v>
      </c>
      <c r="D4380" t="s">
        <v>4494</v>
      </c>
      <c r="E4380" t="s">
        <v>4</v>
      </c>
      <c r="F4380">
        <v>2.35</v>
      </c>
      <c r="H4380" t="s">
        <v>5</v>
      </c>
      <c r="I4380" s="1">
        <v>125.94</v>
      </c>
      <c r="J4380" s="1">
        <v>121.1</v>
      </c>
      <c r="K4380" t="s">
        <v>6</v>
      </c>
    </row>
    <row r="4381" spans="1:11">
      <c r="A4381" t="s">
        <v>4488</v>
      </c>
      <c r="B4381">
        <v>386183</v>
      </c>
      <c r="C4381" s="2" t="str">
        <f>"2272FDIF"</f>
        <v>2272FDIF</v>
      </c>
      <c r="D4381" t="s">
        <v>4495</v>
      </c>
      <c r="E4381" t="s">
        <v>4</v>
      </c>
      <c r="F4381">
        <v>3.5</v>
      </c>
      <c r="H4381" t="s">
        <v>5</v>
      </c>
      <c r="I4381" s="1">
        <v>231.8</v>
      </c>
      <c r="J4381" s="1">
        <v>222.89</v>
      </c>
      <c r="K4381" t="s">
        <v>6</v>
      </c>
    </row>
    <row r="4382" spans="1:11">
      <c r="A4382" t="s">
        <v>4488</v>
      </c>
      <c r="B4382">
        <v>402771</v>
      </c>
      <c r="C4382" s="2" t="str">
        <f>"2272FSLF"</f>
        <v>2272FSLF</v>
      </c>
      <c r="D4382" t="s">
        <v>4496</v>
      </c>
      <c r="E4382" t="s">
        <v>4</v>
      </c>
      <c r="F4382">
        <v>2.85</v>
      </c>
      <c r="H4382" t="s">
        <v>5</v>
      </c>
      <c r="I4382" s="1">
        <v>213.95</v>
      </c>
      <c r="J4382" s="1">
        <v>205.73</v>
      </c>
      <c r="K4382" t="s">
        <v>6</v>
      </c>
    </row>
    <row r="4383" spans="1:11">
      <c r="A4383" t="s">
        <v>4488</v>
      </c>
      <c r="B4383">
        <v>402773</v>
      </c>
      <c r="C4383" s="2" t="str">
        <f>"2272KPVF"</f>
        <v>2272KPVF</v>
      </c>
      <c r="D4383" t="s">
        <v>4497</v>
      </c>
      <c r="E4383" t="s">
        <v>4</v>
      </c>
      <c r="F4383">
        <v>6.5</v>
      </c>
      <c r="H4383" t="s">
        <v>5</v>
      </c>
      <c r="I4383" s="1">
        <v>320.02</v>
      </c>
      <c r="J4383" s="1">
        <v>307.70999999999998</v>
      </c>
      <c r="K4383" t="s">
        <v>6</v>
      </c>
    </row>
    <row r="4384" spans="1:11">
      <c r="A4384" t="s">
        <v>4488</v>
      </c>
      <c r="B4384">
        <v>402769</v>
      </c>
      <c r="C4384" s="2" t="str">
        <f>"2272SBLF"</f>
        <v>2272SBLF</v>
      </c>
      <c r="D4384" t="s">
        <v>4498</v>
      </c>
      <c r="E4384" t="s">
        <v>4</v>
      </c>
      <c r="F4384">
        <v>2.4500000000000002</v>
      </c>
      <c r="H4384" t="s">
        <v>5</v>
      </c>
      <c r="I4384" s="1">
        <v>213.95</v>
      </c>
      <c r="J4384" s="1">
        <v>205.73</v>
      </c>
      <c r="K4384" t="s">
        <v>6</v>
      </c>
    </row>
    <row r="4385" spans="1:11">
      <c r="A4385" t="s">
        <v>4488</v>
      </c>
      <c r="B4385">
        <v>383021</v>
      </c>
      <c r="C4385" s="2" t="str">
        <f>"2272STSF"</f>
        <v>2272STSF</v>
      </c>
      <c r="D4385" t="s">
        <v>4499</v>
      </c>
      <c r="E4385" t="s">
        <v>4</v>
      </c>
      <c r="F4385">
        <v>2.15</v>
      </c>
      <c r="H4385" t="s">
        <v>5</v>
      </c>
      <c r="I4385" s="1">
        <v>125.94</v>
      </c>
      <c r="J4385" s="1">
        <v>121.1</v>
      </c>
      <c r="K4385" t="s">
        <v>6</v>
      </c>
    </row>
    <row r="4386" spans="1:11">
      <c r="A4386" t="s">
        <v>4488</v>
      </c>
      <c r="B4386">
        <v>371472</v>
      </c>
      <c r="C4386" s="2" t="str">
        <f>"2347FPLF"</f>
        <v>2347FPLF</v>
      </c>
      <c r="D4386" t="s">
        <v>4500</v>
      </c>
      <c r="E4386" t="s">
        <v>4</v>
      </c>
      <c r="F4386">
        <v>2.9</v>
      </c>
      <c r="H4386" t="s">
        <v>5</v>
      </c>
      <c r="I4386" s="1">
        <v>186.58</v>
      </c>
      <c r="J4386" s="1">
        <v>179.4</v>
      </c>
      <c r="K4386" t="s">
        <v>6</v>
      </c>
    </row>
    <row r="4387" spans="1:11">
      <c r="A4387" t="s">
        <v>4488</v>
      </c>
      <c r="B4387">
        <v>372903</v>
      </c>
      <c r="C4387" s="2" t="str">
        <f>"2347FSLF"</f>
        <v>2347FSLF</v>
      </c>
      <c r="D4387" t="s">
        <v>4501</v>
      </c>
      <c r="E4387" t="s">
        <v>4</v>
      </c>
      <c r="F4387">
        <v>3.35</v>
      </c>
      <c r="H4387" t="s">
        <v>5</v>
      </c>
      <c r="I4387" s="1">
        <v>186.58</v>
      </c>
      <c r="J4387" s="1">
        <v>179.4</v>
      </c>
      <c r="K4387" t="s">
        <v>6</v>
      </c>
    </row>
    <row r="4388" spans="1:11">
      <c r="A4388" t="s">
        <v>4488</v>
      </c>
      <c r="B4388">
        <v>371471</v>
      </c>
      <c r="C4388" s="2" t="str">
        <f>"2347KPVF"</f>
        <v>2347KPVF</v>
      </c>
      <c r="D4388" t="s">
        <v>4502</v>
      </c>
      <c r="E4388" t="s">
        <v>4</v>
      </c>
      <c r="F4388">
        <v>9.1999999999999993</v>
      </c>
      <c r="H4388" t="s">
        <v>5</v>
      </c>
      <c r="I4388" s="1">
        <v>278.85000000000002</v>
      </c>
      <c r="J4388" s="1">
        <v>268.13</v>
      </c>
      <c r="K4388" t="s">
        <v>6</v>
      </c>
    </row>
    <row r="4389" spans="1:11">
      <c r="A4389" t="s">
        <v>4488</v>
      </c>
      <c r="B4389">
        <v>372904</v>
      </c>
      <c r="C4389" s="2" t="str">
        <f>"2347SRBF"</f>
        <v>2347SRBF</v>
      </c>
      <c r="D4389" t="s">
        <v>4503</v>
      </c>
      <c r="E4389" t="s">
        <v>4</v>
      </c>
      <c r="F4389">
        <v>3.9</v>
      </c>
      <c r="H4389" t="s">
        <v>5</v>
      </c>
      <c r="I4389" s="1">
        <v>186.58</v>
      </c>
      <c r="J4389" s="1">
        <v>179.4</v>
      </c>
      <c r="K4389" t="s">
        <v>6</v>
      </c>
    </row>
    <row r="4390" spans="1:11">
      <c r="A4390" t="s">
        <v>4488</v>
      </c>
      <c r="B4390">
        <v>372908</v>
      </c>
      <c r="C4390" s="2" t="str">
        <f>"2347STSF"</f>
        <v>2347STSF</v>
      </c>
      <c r="D4390" t="s">
        <v>4504</v>
      </c>
      <c r="E4390" t="s">
        <v>4</v>
      </c>
      <c r="F4390">
        <v>2.7</v>
      </c>
      <c r="H4390" t="s">
        <v>5</v>
      </c>
      <c r="I4390" s="1">
        <v>109.71</v>
      </c>
      <c r="J4390" s="1">
        <v>105.5</v>
      </c>
      <c r="K4390" t="s">
        <v>6</v>
      </c>
    </row>
    <row r="4391" spans="1:11">
      <c r="A4391" t="s">
        <v>4488</v>
      </c>
      <c r="B4391">
        <v>369004</v>
      </c>
      <c r="C4391" s="2" t="str">
        <f>"2544FRSF"</f>
        <v>2544FRSF</v>
      </c>
      <c r="D4391" t="s">
        <v>4505</v>
      </c>
      <c r="E4391" t="s">
        <v>4</v>
      </c>
      <c r="F4391">
        <v>2.4500000000000002</v>
      </c>
      <c r="H4391" t="s">
        <v>5</v>
      </c>
      <c r="I4391" s="1">
        <v>109.71</v>
      </c>
      <c r="J4391" s="1">
        <v>105.5</v>
      </c>
      <c r="K4391" t="s">
        <v>6</v>
      </c>
    </row>
    <row r="4392" spans="1:11">
      <c r="A4392" t="s">
        <v>4488</v>
      </c>
      <c r="B4392">
        <v>370700</v>
      </c>
      <c r="C4392" s="2" t="str">
        <f>"2544FSLF"</f>
        <v>2544FSLF</v>
      </c>
      <c r="D4392" t="s">
        <v>4506</v>
      </c>
      <c r="E4392" t="s">
        <v>4</v>
      </c>
      <c r="F4392">
        <v>2</v>
      </c>
      <c r="H4392" t="s">
        <v>5</v>
      </c>
      <c r="I4392" s="1">
        <v>109.71</v>
      </c>
      <c r="J4392" s="1">
        <v>105.5</v>
      </c>
      <c r="K4392" t="s">
        <v>6</v>
      </c>
    </row>
    <row r="4393" spans="1:11">
      <c r="A4393" t="s">
        <v>4488</v>
      </c>
      <c r="B4393">
        <v>368994</v>
      </c>
      <c r="C4393" s="2" t="str">
        <f>"2544KPVF"</f>
        <v>2544KPVF</v>
      </c>
      <c r="D4393" t="s">
        <v>4507</v>
      </c>
      <c r="E4393" t="s">
        <v>4</v>
      </c>
      <c r="F4393">
        <v>6.5</v>
      </c>
      <c r="H4393" t="s">
        <v>5</v>
      </c>
      <c r="I4393" s="1">
        <v>206.86</v>
      </c>
      <c r="J4393" s="1">
        <v>198.9</v>
      </c>
      <c r="K4393" t="s">
        <v>6</v>
      </c>
    </row>
    <row r="4394" spans="1:11">
      <c r="A4394" t="s">
        <v>4488</v>
      </c>
      <c r="B4394">
        <v>369010</v>
      </c>
      <c r="C4394" s="2" t="str">
        <f>"2544SBLF"</f>
        <v>2544SBLF</v>
      </c>
      <c r="D4394" t="s">
        <v>4508</v>
      </c>
      <c r="E4394" t="s">
        <v>4</v>
      </c>
      <c r="F4394">
        <v>2.4</v>
      </c>
      <c r="H4394" t="s">
        <v>5</v>
      </c>
      <c r="I4394" s="1">
        <v>109.71</v>
      </c>
      <c r="J4394" s="1">
        <v>105.5</v>
      </c>
      <c r="K4394" t="s">
        <v>6</v>
      </c>
    </row>
    <row r="4395" spans="1:11">
      <c r="A4395" t="s">
        <v>4488</v>
      </c>
      <c r="B4395">
        <v>369008</v>
      </c>
      <c r="C4395" s="2" t="str">
        <f>"2544SPLF"</f>
        <v>2544SPLF</v>
      </c>
      <c r="D4395" t="s">
        <v>4509</v>
      </c>
      <c r="E4395" t="s">
        <v>4</v>
      </c>
      <c r="F4395">
        <v>3.05</v>
      </c>
      <c r="H4395" t="s">
        <v>5</v>
      </c>
      <c r="I4395" s="1">
        <v>109.71</v>
      </c>
      <c r="J4395" s="1">
        <v>105.5</v>
      </c>
      <c r="K4395" t="s">
        <v>6</v>
      </c>
    </row>
    <row r="4396" spans="1:11">
      <c r="A4396" t="s">
        <v>4488</v>
      </c>
      <c r="B4396">
        <v>381009</v>
      </c>
      <c r="C4396" s="2" t="str">
        <f>"2544STBF"</f>
        <v>2544STBF</v>
      </c>
      <c r="D4396" t="s">
        <v>4510</v>
      </c>
      <c r="E4396" t="s">
        <v>4</v>
      </c>
      <c r="F4396">
        <v>1.4</v>
      </c>
      <c r="H4396" t="s">
        <v>5</v>
      </c>
      <c r="I4396" s="1">
        <v>43.2</v>
      </c>
      <c r="J4396" s="1">
        <v>41.54</v>
      </c>
      <c r="K4396" t="s">
        <v>6</v>
      </c>
    </row>
    <row r="4397" spans="1:11">
      <c r="A4397" t="s">
        <v>4488</v>
      </c>
      <c r="B4397">
        <v>369002</v>
      </c>
      <c r="C4397" s="2" t="str">
        <f>"2544STSF"</f>
        <v>2544STSF</v>
      </c>
      <c r="D4397" t="s">
        <v>4511</v>
      </c>
      <c r="E4397" t="s">
        <v>4</v>
      </c>
      <c r="F4397">
        <v>2.25</v>
      </c>
      <c r="H4397" t="s">
        <v>5</v>
      </c>
      <c r="I4397" s="1">
        <v>73.62</v>
      </c>
      <c r="J4397" s="1">
        <v>70.790000000000006</v>
      </c>
      <c r="K4397" t="s">
        <v>6</v>
      </c>
    </row>
    <row r="4398" spans="1:11">
      <c r="A4398" t="s">
        <v>4488</v>
      </c>
      <c r="B4398">
        <v>369006</v>
      </c>
      <c r="C4398" s="2" t="str">
        <f>"2552FRSF"</f>
        <v>2552FRSF</v>
      </c>
      <c r="D4398" t="s">
        <v>4512</v>
      </c>
      <c r="E4398" t="s">
        <v>4</v>
      </c>
      <c r="F4398">
        <v>2.4500000000000002</v>
      </c>
      <c r="H4398" t="s">
        <v>5</v>
      </c>
      <c r="I4398" s="1">
        <v>109.71</v>
      </c>
      <c r="J4398" s="1">
        <v>105.5</v>
      </c>
      <c r="K4398" t="s">
        <v>6</v>
      </c>
    </row>
    <row r="4399" spans="1:11">
      <c r="A4399" t="s">
        <v>4488</v>
      </c>
      <c r="B4399">
        <v>372911</v>
      </c>
      <c r="C4399" s="2" t="str">
        <f>"2552FSLF"</f>
        <v>2552FSLF</v>
      </c>
      <c r="D4399" t="s">
        <v>4513</v>
      </c>
      <c r="E4399" t="s">
        <v>4</v>
      </c>
      <c r="F4399">
        <v>1.95</v>
      </c>
      <c r="H4399" t="s">
        <v>5</v>
      </c>
      <c r="I4399" s="1">
        <v>109.71</v>
      </c>
      <c r="J4399" s="1">
        <v>105.5</v>
      </c>
      <c r="K4399" t="s">
        <v>6</v>
      </c>
    </row>
    <row r="4400" spans="1:11">
      <c r="A4400" t="s">
        <v>4488</v>
      </c>
      <c r="B4400">
        <v>369005</v>
      </c>
      <c r="C4400" s="2" t="str">
        <f>"2552KPVF"</f>
        <v>2552KPVF</v>
      </c>
      <c r="D4400" t="s">
        <v>4514</v>
      </c>
      <c r="E4400" t="s">
        <v>4</v>
      </c>
      <c r="F4400">
        <v>4.6500000000000004</v>
      </c>
      <c r="H4400" t="s">
        <v>5</v>
      </c>
      <c r="I4400" s="1">
        <v>177.45</v>
      </c>
      <c r="J4400" s="1">
        <v>170.63</v>
      </c>
      <c r="K4400" t="s">
        <v>6</v>
      </c>
    </row>
    <row r="4401" spans="1:11">
      <c r="A4401" t="s">
        <v>4488</v>
      </c>
      <c r="B4401">
        <v>372910</v>
      </c>
      <c r="C4401" s="2" t="str">
        <f>"2552SBLF"</f>
        <v>2552SBLF</v>
      </c>
      <c r="D4401" t="s">
        <v>4515</v>
      </c>
      <c r="E4401" t="s">
        <v>4</v>
      </c>
      <c r="F4401">
        <v>2.15</v>
      </c>
      <c r="H4401" t="s">
        <v>5</v>
      </c>
      <c r="I4401" s="1">
        <v>109.71</v>
      </c>
      <c r="J4401" s="1">
        <v>105.5</v>
      </c>
      <c r="K4401" t="s">
        <v>6</v>
      </c>
    </row>
    <row r="4402" spans="1:11">
      <c r="A4402" t="s">
        <v>4488</v>
      </c>
      <c r="B4402">
        <v>369007</v>
      </c>
      <c r="C4402" s="2" t="str">
        <f>"2552STSF"</f>
        <v>2552STSF</v>
      </c>
      <c r="D4402" t="s">
        <v>4516</v>
      </c>
      <c r="E4402" t="s">
        <v>4</v>
      </c>
      <c r="F4402">
        <v>2.2999999999999998</v>
      </c>
      <c r="H4402" t="s">
        <v>5</v>
      </c>
      <c r="I4402" s="1">
        <v>73.62</v>
      </c>
      <c r="J4402" s="1">
        <v>70.790000000000006</v>
      </c>
      <c r="K4402" t="s">
        <v>6</v>
      </c>
    </row>
    <row r="4403" spans="1:11">
      <c r="A4403" t="s">
        <v>4488</v>
      </c>
      <c r="B4403">
        <v>369003</v>
      </c>
      <c r="C4403" s="2" t="str">
        <f>"2610FRSF"</f>
        <v>2610FRSF</v>
      </c>
      <c r="D4403" t="s">
        <v>4517</v>
      </c>
      <c r="E4403" t="s">
        <v>4</v>
      </c>
      <c r="F4403">
        <v>2.9</v>
      </c>
      <c r="H4403" t="s">
        <v>5</v>
      </c>
      <c r="I4403" s="1">
        <v>119.65</v>
      </c>
      <c r="J4403" s="1">
        <v>115.05</v>
      </c>
      <c r="K4403" t="s">
        <v>6</v>
      </c>
    </row>
    <row r="4404" spans="1:11">
      <c r="A4404" t="s">
        <v>4488</v>
      </c>
      <c r="B4404">
        <v>381011</v>
      </c>
      <c r="C4404" s="2" t="str">
        <f>"2610FSLF"</f>
        <v>2610FSLF</v>
      </c>
      <c r="D4404" t="s">
        <v>4518</v>
      </c>
      <c r="E4404" t="s">
        <v>4</v>
      </c>
      <c r="F4404">
        <v>2.0499999999999998</v>
      </c>
      <c r="H4404" t="s">
        <v>5</v>
      </c>
      <c r="I4404" s="1">
        <v>114.18</v>
      </c>
      <c r="J4404" s="1">
        <v>109.79</v>
      </c>
      <c r="K4404" t="s">
        <v>6</v>
      </c>
    </row>
    <row r="4405" spans="1:11">
      <c r="A4405" t="s">
        <v>4488</v>
      </c>
      <c r="B4405">
        <v>372506</v>
      </c>
      <c r="C4405" s="2" t="str">
        <f>"2610KPVF"</f>
        <v>2610KPVF</v>
      </c>
      <c r="D4405" t="s">
        <v>4519</v>
      </c>
      <c r="E4405" t="s">
        <v>4</v>
      </c>
      <c r="F4405">
        <v>4.9000000000000004</v>
      </c>
      <c r="H4405" t="s">
        <v>5</v>
      </c>
      <c r="I4405" s="1">
        <v>224.3</v>
      </c>
      <c r="J4405" s="1">
        <v>215.67</v>
      </c>
      <c r="K4405" t="s">
        <v>6</v>
      </c>
    </row>
    <row r="4406" spans="1:11">
      <c r="A4406" t="s">
        <v>4488</v>
      </c>
      <c r="B4406">
        <v>370687</v>
      </c>
      <c r="C4406" s="2" t="str">
        <f>"2610SBLF"</f>
        <v>2610SBLF</v>
      </c>
      <c r="D4406" t="s">
        <v>4520</v>
      </c>
      <c r="E4406" t="s">
        <v>4</v>
      </c>
      <c r="F4406">
        <v>2.6</v>
      </c>
      <c r="H4406" t="s">
        <v>5</v>
      </c>
      <c r="I4406" s="1">
        <v>119.65</v>
      </c>
      <c r="J4406" s="1">
        <v>115.05</v>
      </c>
      <c r="K4406" t="s">
        <v>6</v>
      </c>
    </row>
    <row r="4407" spans="1:11">
      <c r="A4407" t="s">
        <v>4488</v>
      </c>
      <c r="B4407">
        <v>369009</v>
      </c>
      <c r="C4407" s="2" t="str">
        <f>"2610STSF"</f>
        <v>2610STSF</v>
      </c>
      <c r="D4407" t="s">
        <v>4521</v>
      </c>
      <c r="E4407" t="s">
        <v>4</v>
      </c>
      <c r="F4407">
        <v>2.0499999999999998</v>
      </c>
      <c r="H4407" t="s">
        <v>5</v>
      </c>
      <c r="I4407" s="1">
        <v>89.64</v>
      </c>
      <c r="J4407" s="1">
        <v>86.19</v>
      </c>
      <c r="K4407" t="s">
        <v>6</v>
      </c>
    </row>
    <row r="4408" spans="1:11">
      <c r="A4408" t="s">
        <v>4488</v>
      </c>
      <c r="B4408">
        <v>368974</v>
      </c>
      <c r="C4408" s="2" t="str">
        <f>"B393FPLF"</f>
        <v>B393FPLF</v>
      </c>
      <c r="D4408" t="s">
        <v>4522</v>
      </c>
      <c r="E4408" t="s">
        <v>4</v>
      </c>
      <c r="F4408">
        <v>2.5099999999999998</v>
      </c>
      <c r="H4408" t="s">
        <v>5</v>
      </c>
      <c r="I4408" s="1">
        <v>67.53</v>
      </c>
      <c r="J4408" s="1">
        <v>64.94</v>
      </c>
      <c r="K4408" t="s">
        <v>6</v>
      </c>
    </row>
    <row r="4409" spans="1:11">
      <c r="A4409" t="s">
        <v>4488</v>
      </c>
      <c r="B4409">
        <v>370684</v>
      </c>
      <c r="C4409" s="2" t="str">
        <f>"B393KPVF"</f>
        <v>B393KPVF</v>
      </c>
      <c r="D4409" t="s">
        <v>4523</v>
      </c>
      <c r="E4409" t="s">
        <v>4</v>
      </c>
      <c r="F4409">
        <v>5.43</v>
      </c>
      <c r="H4409" t="s">
        <v>5</v>
      </c>
      <c r="I4409" s="1">
        <v>113.77</v>
      </c>
      <c r="J4409" s="1">
        <v>109.4</v>
      </c>
      <c r="K4409" t="s">
        <v>6</v>
      </c>
    </row>
    <row r="4410" spans="1:11">
      <c r="A4410" t="s">
        <v>4488</v>
      </c>
      <c r="B4410">
        <v>370686</v>
      </c>
      <c r="C4410" s="2" t="str">
        <f>"B393SBLF"</f>
        <v>B393SBLF</v>
      </c>
      <c r="D4410" t="s">
        <v>4524</v>
      </c>
      <c r="E4410" t="s">
        <v>4</v>
      </c>
      <c r="F4410">
        <v>2.7</v>
      </c>
      <c r="H4410" t="s">
        <v>5</v>
      </c>
      <c r="I4410" s="1">
        <v>67.53</v>
      </c>
      <c r="J4410" s="1">
        <v>64.94</v>
      </c>
      <c r="K4410" t="s">
        <v>6</v>
      </c>
    </row>
    <row r="4411" spans="1:11">
      <c r="A4411" t="s">
        <v>4488</v>
      </c>
      <c r="B4411">
        <v>368999</v>
      </c>
      <c r="C4411" s="2" t="str">
        <f>"B393STSF"</f>
        <v>B393STSF</v>
      </c>
      <c r="D4411" t="s">
        <v>4525</v>
      </c>
      <c r="E4411" t="s">
        <v>4</v>
      </c>
      <c r="F4411">
        <v>1.99</v>
      </c>
      <c r="H4411" t="s">
        <v>5</v>
      </c>
      <c r="I4411" s="1">
        <v>47.25</v>
      </c>
      <c r="J4411" s="1">
        <v>45.44</v>
      </c>
      <c r="K4411" t="s">
        <v>6</v>
      </c>
    </row>
    <row r="4412" spans="1:11">
      <c r="A4412" t="s">
        <v>4488</v>
      </c>
      <c r="B4412">
        <v>413794</v>
      </c>
      <c r="C4412" s="2" t="str">
        <f>"T015FDEF"</f>
        <v>T015FDEF</v>
      </c>
      <c r="D4412" t="s">
        <v>4526</v>
      </c>
      <c r="E4412" t="s">
        <v>4</v>
      </c>
      <c r="F4412">
        <v>1.36</v>
      </c>
      <c r="H4412" t="s">
        <v>5</v>
      </c>
      <c r="I4412" s="1">
        <v>45.97</v>
      </c>
      <c r="J4412" s="1">
        <v>44.2</v>
      </c>
      <c r="K4412" t="s">
        <v>6</v>
      </c>
    </row>
    <row r="4413" spans="1:11">
      <c r="A4413" t="s">
        <v>4488</v>
      </c>
      <c r="B4413">
        <v>409447</v>
      </c>
      <c r="C4413" s="2" t="str">
        <f>"T015FDIF"</f>
        <v>T015FDIF</v>
      </c>
      <c r="D4413" t="s">
        <v>4527</v>
      </c>
      <c r="E4413" t="s">
        <v>4</v>
      </c>
      <c r="F4413">
        <v>1.72</v>
      </c>
      <c r="H4413" t="s">
        <v>5</v>
      </c>
      <c r="I4413" s="1">
        <v>49.69</v>
      </c>
      <c r="J4413" s="1">
        <v>47.78</v>
      </c>
      <c r="K4413" t="s">
        <v>6</v>
      </c>
    </row>
    <row r="4414" spans="1:11">
      <c r="A4414" t="s">
        <v>4488</v>
      </c>
      <c r="B4414">
        <v>383606</v>
      </c>
      <c r="C4414" s="2" t="str">
        <f>"T015FOYF"</f>
        <v>T015FOYF</v>
      </c>
      <c r="D4414" t="s">
        <v>4528</v>
      </c>
      <c r="E4414" t="s">
        <v>4</v>
      </c>
      <c r="F4414">
        <v>3.4</v>
      </c>
      <c r="H4414" t="s">
        <v>5</v>
      </c>
      <c r="I4414" s="1">
        <v>41.3</v>
      </c>
      <c r="J4414" s="1">
        <v>39.72</v>
      </c>
      <c r="K4414" t="s">
        <v>6</v>
      </c>
    </row>
    <row r="4415" spans="1:11">
      <c r="A4415" t="s">
        <v>4488</v>
      </c>
      <c r="B4415">
        <v>371522</v>
      </c>
      <c r="C4415" s="2" t="str">
        <f>"T015FSLF"</f>
        <v>T015FSLF</v>
      </c>
      <c r="D4415" t="s">
        <v>4529</v>
      </c>
      <c r="E4415" t="s">
        <v>4</v>
      </c>
      <c r="F4415">
        <v>1.1200000000000001</v>
      </c>
      <c r="H4415" t="s">
        <v>5</v>
      </c>
      <c r="I4415" s="1">
        <v>45.97</v>
      </c>
      <c r="J4415" s="1">
        <v>44.2</v>
      </c>
      <c r="K4415" t="s">
        <v>6</v>
      </c>
    </row>
    <row r="4416" spans="1:11">
      <c r="A4416" t="s">
        <v>4488</v>
      </c>
      <c r="B4416">
        <v>409448</v>
      </c>
      <c r="C4416" s="2" t="str">
        <f>"T015KDVF"</f>
        <v>T015KDVF</v>
      </c>
      <c r="D4416" t="s">
        <v>4530</v>
      </c>
      <c r="E4416" t="s">
        <v>4</v>
      </c>
      <c r="F4416">
        <v>3.17</v>
      </c>
      <c r="H4416" t="s">
        <v>5</v>
      </c>
      <c r="I4416" s="1">
        <v>68.61</v>
      </c>
      <c r="J4416" s="1">
        <v>65.98</v>
      </c>
      <c r="K4416" t="s">
        <v>6</v>
      </c>
    </row>
    <row r="4417" spans="1:11">
      <c r="A4417" t="s">
        <v>4488</v>
      </c>
      <c r="B4417">
        <v>434741</v>
      </c>
      <c r="C4417" s="2" t="str">
        <f>"T015KSBG"</f>
        <v>T015KSBG</v>
      </c>
      <c r="D4417" t="s">
        <v>4531</v>
      </c>
      <c r="E4417" t="s">
        <v>4</v>
      </c>
      <c r="F4417">
        <v>2.0099999999999998</v>
      </c>
      <c r="H4417" t="s">
        <v>5</v>
      </c>
      <c r="I4417" s="1">
        <v>70.099999999999994</v>
      </c>
      <c r="J4417" s="1">
        <v>67.41</v>
      </c>
      <c r="K4417" t="s">
        <v>6</v>
      </c>
    </row>
    <row r="4418" spans="1:11">
      <c r="A4418" t="s">
        <v>4488</v>
      </c>
      <c r="B4418">
        <v>371521</v>
      </c>
      <c r="C4418" s="2" t="str">
        <f>"T015SADF"</f>
        <v>T015SADF</v>
      </c>
      <c r="D4418" t="s">
        <v>4532</v>
      </c>
      <c r="E4418" t="s">
        <v>4</v>
      </c>
      <c r="F4418">
        <v>0.35</v>
      </c>
      <c r="H4418" t="s">
        <v>5</v>
      </c>
      <c r="I4418" s="1">
        <v>25.55</v>
      </c>
      <c r="J4418" s="1">
        <v>24.57</v>
      </c>
      <c r="K4418" t="s">
        <v>6</v>
      </c>
    </row>
    <row r="4419" spans="1:11">
      <c r="A4419" t="s">
        <v>4488</v>
      </c>
      <c r="B4419">
        <v>409446</v>
      </c>
      <c r="C4419" s="2" t="str">
        <f>"T015SBLF"</f>
        <v>T015SBLF</v>
      </c>
      <c r="D4419" t="s">
        <v>4533</v>
      </c>
      <c r="E4419" t="s">
        <v>4</v>
      </c>
      <c r="F4419">
        <v>0.97</v>
      </c>
      <c r="H4419" t="s">
        <v>5</v>
      </c>
      <c r="I4419" s="1">
        <v>45.97</v>
      </c>
      <c r="J4419" s="1">
        <v>44.2</v>
      </c>
      <c r="K4419" t="s">
        <v>6</v>
      </c>
    </row>
    <row r="4420" spans="1:11">
      <c r="A4420" t="s">
        <v>4488</v>
      </c>
      <c r="B4420">
        <v>383609</v>
      </c>
      <c r="C4420" s="2" t="str">
        <f>"T015SDEF"</f>
        <v>T015SDEF</v>
      </c>
      <c r="D4420" t="s">
        <v>4534</v>
      </c>
      <c r="E4420" t="s">
        <v>4</v>
      </c>
      <c r="F4420">
        <v>4.33</v>
      </c>
      <c r="H4420" t="s">
        <v>5</v>
      </c>
      <c r="I4420" s="1">
        <v>45.97</v>
      </c>
      <c r="J4420" s="1">
        <v>44.2</v>
      </c>
      <c r="K4420" t="s">
        <v>6</v>
      </c>
    </row>
    <row r="4421" spans="1:11">
      <c r="A4421" t="s">
        <v>4488</v>
      </c>
      <c r="B4421">
        <v>383607</v>
      </c>
      <c r="C4421" s="2" t="str">
        <f>"T015SITF"</f>
        <v>T015SITF</v>
      </c>
      <c r="D4421" t="s">
        <v>4535</v>
      </c>
      <c r="E4421" t="s">
        <v>4</v>
      </c>
      <c r="F4421">
        <v>3</v>
      </c>
      <c r="H4421" t="s">
        <v>5</v>
      </c>
      <c r="I4421" s="1">
        <v>41.3</v>
      </c>
      <c r="J4421" s="1">
        <v>39.72</v>
      </c>
      <c r="K4421" t="s">
        <v>6</v>
      </c>
    </row>
    <row r="4422" spans="1:11">
      <c r="A4422" t="s">
        <v>4488</v>
      </c>
      <c r="B4422">
        <v>409449</v>
      </c>
      <c r="C4422" s="2" t="str">
        <f>"T015STBF"</f>
        <v>T015STBF</v>
      </c>
      <c r="D4422" t="s">
        <v>4536</v>
      </c>
      <c r="E4422" t="s">
        <v>4</v>
      </c>
      <c r="F4422">
        <v>1.98</v>
      </c>
      <c r="H4422" t="s">
        <v>5</v>
      </c>
      <c r="I4422" s="1">
        <v>52.19</v>
      </c>
      <c r="J4422" s="1">
        <v>50.18</v>
      </c>
      <c r="K4422" t="s">
        <v>6</v>
      </c>
    </row>
    <row r="4423" spans="1:11">
      <c r="A4423" t="s">
        <v>4488</v>
      </c>
      <c r="B4423">
        <v>383614</v>
      </c>
      <c r="C4423" s="2" t="str">
        <f>"T015STSF"</f>
        <v>T015STSF</v>
      </c>
      <c r="D4423" t="s">
        <v>4537</v>
      </c>
      <c r="E4423" t="s">
        <v>4</v>
      </c>
      <c r="F4423">
        <v>2.66</v>
      </c>
      <c r="H4423" t="s">
        <v>5</v>
      </c>
      <c r="I4423" s="1">
        <v>25.69</v>
      </c>
      <c r="J4423" s="1">
        <v>24.7</v>
      </c>
      <c r="K4423" t="s">
        <v>6</v>
      </c>
    </row>
    <row r="4424" spans="1:11">
      <c r="A4424" t="s">
        <v>4538</v>
      </c>
      <c r="B4424">
        <v>423475</v>
      </c>
      <c r="C4424" s="2" t="str">
        <f>"30.3604"</f>
        <v>30.3604</v>
      </c>
      <c r="D4424" t="s">
        <v>4539</v>
      </c>
      <c r="E4424" t="s">
        <v>4</v>
      </c>
      <c r="F4424">
        <v>0.25</v>
      </c>
      <c r="H4424" t="s">
        <v>5</v>
      </c>
      <c r="I4424" s="1">
        <v>3.07</v>
      </c>
      <c r="J4424" s="1">
        <v>3.07</v>
      </c>
      <c r="K4424" t="s">
        <v>6</v>
      </c>
    </row>
    <row r="4425" spans="1:11">
      <c r="A4425" t="s">
        <v>4538</v>
      </c>
      <c r="B4425">
        <v>432386</v>
      </c>
      <c r="C4425" s="2" t="str">
        <f>"AM10D/3004ADY"</f>
        <v>AM10D/3004ADY</v>
      </c>
      <c r="D4425" t="s">
        <v>4540</v>
      </c>
      <c r="E4425" t="s">
        <v>4</v>
      </c>
      <c r="F4425">
        <v>33</v>
      </c>
      <c r="H4425" t="s">
        <v>5</v>
      </c>
      <c r="I4425" s="1">
        <v>259.35000000000002</v>
      </c>
      <c r="J4425" s="1">
        <v>246.35</v>
      </c>
      <c r="K4425" t="s">
        <v>6</v>
      </c>
    </row>
    <row r="4426" spans="1:11">
      <c r="A4426" t="s">
        <v>4538</v>
      </c>
      <c r="B4426">
        <v>423465</v>
      </c>
      <c r="C4426" s="2" t="str">
        <f>"BB900"</f>
        <v>BB900</v>
      </c>
      <c r="D4426" t="s">
        <v>4541</v>
      </c>
      <c r="E4426" t="s">
        <v>4</v>
      </c>
      <c r="F4426">
        <v>8</v>
      </c>
      <c r="H4426" t="s">
        <v>5</v>
      </c>
      <c r="I4426" s="1">
        <v>161.85</v>
      </c>
      <c r="J4426" s="1">
        <v>148.85</v>
      </c>
      <c r="K4426" t="s">
        <v>6</v>
      </c>
    </row>
    <row r="4427" spans="1:11">
      <c r="A4427" t="s">
        <v>4538</v>
      </c>
      <c r="B4427">
        <v>464485</v>
      </c>
      <c r="C4427" s="2" t="str">
        <f>"PK10PR014DW"</f>
        <v>PK10PR014DW</v>
      </c>
      <c r="D4427" t="s">
        <v>4542</v>
      </c>
      <c r="E4427" t="s">
        <v>4</v>
      </c>
      <c r="F4427">
        <v>3</v>
      </c>
      <c r="H4427" t="s">
        <v>5</v>
      </c>
      <c r="I4427" s="1">
        <v>16.84</v>
      </c>
      <c r="J4427" s="1">
        <v>16.84</v>
      </c>
      <c r="K4427" t="s">
        <v>6</v>
      </c>
    </row>
    <row r="4428" spans="1:11">
      <c r="A4428" t="s">
        <v>4538</v>
      </c>
      <c r="B4428">
        <v>423470</v>
      </c>
      <c r="C4428" s="2" t="str">
        <f>"PK8000.25"</f>
        <v>PK8000.25</v>
      </c>
      <c r="D4428" t="s">
        <v>4543</v>
      </c>
      <c r="E4428" t="s">
        <v>4</v>
      </c>
      <c r="F4428">
        <v>3.1</v>
      </c>
      <c r="H4428" t="s">
        <v>5</v>
      </c>
      <c r="I4428" s="1">
        <v>23.08</v>
      </c>
      <c r="J4428" s="1">
        <v>23.08</v>
      </c>
      <c r="K4428" t="s">
        <v>6</v>
      </c>
    </row>
    <row r="4429" spans="1:11">
      <c r="A4429" t="s">
        <v>4538</v>
      </c>
      <c r="B4429">
        <v>423474</v>
      </c>
      <c r="C4429" s="2" t="str">
        <f>"PKBP10.10QT"</f>
        <v>PKBP10.10QT</v>
      </c>
      <c r="D4429" t="s">
        <v>4544</v>
      </c>
      <c r="E4429" t="s">
        <v>4</v>
      </c>
      <c r="F4429">
        <v>0.95</v>
      </c>
      <c r="H4429" t="s">
        <v>5</v>
      </c>
      <c r="I4429" s="1">
        <v>17.239999999999998</v>
      </c>
      <c r="J4429" s="1">
        <v>17.239999999999998</v>
      </c>
      <c r="K4429" t="s">
        <v>6</v>
      </c>
    </row>
    <row r="4430" spans="1:11">
      <c r="A4430" t="s">
        <v>4538</v>
      </c>
      <c r="B4430">
        <v>423468</v>
      </c>
      <c r="C4430" s="2" t="str">
        <f>"PR2600"</f>
        <v>PR2600</v>
      </c>
      <c r="D4430" t="s">
        <v>4545</v>
      </c>
      <c r="E4430" t="s">
        <v>4</v>
      </c>
      <c r="F4430">
        <v>4.5</v>
      </c>
      <c r="H4430" t="s">
        <v>5</v>
      </c>
      <c r="I4430" s="1">
        <v>49.37</v>
      </c>
      <c r="J4430" s="1">
        <v>45.47</v>
      </c>
      <c r="K4430" t="s">
        <v>6</v>
      </c>
    </row>
    <row r="4431" spans="1:11">
      <c r="A4431" t="s">
        <v>4538</v>
      </c>
      <c r="B4431">
        <v>423469</v>
      </c>
      <c r="C4431" s="2" t="str">
        <f>"PR3200"</f>
        <v>PR3200</v>
      </c>
      <c r="D4431" t="s">
        <v>4546</v>
      </c>
      <c r="E4431" t="s">
        <v>4</v>
      </c>
      <c r="F4431">
        <v>5</v>
      </c>
      <c r="H4431" t="s">
        <v>5</v>
      </c>
      <c r="I4431" s="1">
        <v>70.47</v>
      </c>
      <c r="J4431" s="1">
        <v>66.569999999999993</v>
      </c>
      <c r="K4431" t="s">
        <v>6</v>
      </c>
    </row>
    <row r="4432" spans="1:11">
      <c r="A4432" t="s">
        <v>4538</v>
      </c>
      <c r="B4432">
        <v>538597</v>
      </c>
      <c r="C4432" s="2" t="str">
        <f>"PR9100NM"</f>
        <v>PR9100NM</v>
      </c>
      <c r="D4432" t="s">
        <v>4547</v>
      </c>
      <c r="E4432" t="s">
        <v>4</v>
      </c>
      <c r="F4432">
        <v>5.5</v>
      </c>
      <c r="H4432" t="s">
        <v>5</v>
      </c>
      <c r="I4432" s="1">
        <v>105.95</v>
      </c>
      <c r="J4432" s="1">
        <v>102.05</v>
      </c>
      <c r="K4432" t="s">
        <v>6</v>
      </c>
    </row>
    <row r="4433" spans="1:11">
      <c r="A4433" t="s">
        <v>4538</v>
      </c>
      <c r="B4433">
        <v>423463</v>
      </c>
      <c r="C4433" s="2" t="str">
        <f>"U2000E"</f>
        <v>U2000E</v>
      </c>
      <c r="D4433" t="s">
        <v>4548</v>
      </c>
      <c r="E4433" t="s">
        <v>4</v>
      </c>
      <c r="F4433">
        <v>12</v>
      </c>
      <c r="H4433" t="s">
        <v>5</v>
      </c>
      <c r="I4433" s="1">
        <v>285.35000000000002</v>
      </c>
      <c r="J4433" s="1">
        <v>272.35000000000002</v>
      </c>
      <c r="K4433" t="s">
        <v>6</v>
      </c>
    </row>
    <row r="4434" spans="1:11">
      <c r="A4434" t="s">
        <v>4538</v>
      </c>
      <c r="B4434">
        <v>538780</v>
      </c>
      <c r="C4434" s="2" t="str">
        <f>"U2000EB"</f>
        <v>U2000EB</v>
      </c>
      <c r="D4434" t="s">
        <v>4549</v>
      </c>
      <c r="E4434" t="s">
        <v>4</v>
      </c>
      <c r="F4434">
        <v>13</v>
      </c>
      <c r="H4434" t="s">
        <v>5</v>
      </c>
      <c r="I4434" s="1">
        <v>285.35000000000002</v>
      </c>
      <c r="J4434" s="1">
        <v>272.35000000000002</v>
      </c>
      <c r="K4434" t="s">
        <v>6</v>
      </c>
    </row>
    <row r="4435" spans="1:11">
      <c r="A4435" t="s">
        <v>4538</v>
      </c>
      <c r="B4435">
        <v>463317</v>
      </c>
      <c r="C4435" s="2" t="str">
        <f>"UPRO14T"</f>
        <v>UPRO14T</v>
      </c>
      <c r="D4435" t="s">
        <v>4550</v>
      </c>
      <c r="E4435" t="s">
        <v>4</v>
      </c>
      <c r="F4435">
        <v>26.8</v>
      </c>
      <c r="H4435" t="s">
        <v>5</v>
      </c>
      <c r="I4435" s="1">
        <v>492.7</v>
      </c>
      <c r="J4435" s="1">
        <v>479.7</v>
      </c>
      <c r="K4435" t="s">
        <v>6</v>
      </c>
    </row>
    <row r="4436" spans="1:11">
      <c r="A4436" t="s">
        <v>4538</v>
      </c>
      <c r="B4436">
        <v>538782</v>
      </c>
      <c r="C4436" s="2" t="str">
        <f>"XLPRO6A"</f>
        <v>XLPRO6A</v>
      </c>
      <c r="D4436" t="s">
        <v>4551</v>
      </c>
      <c r="E4436" t="s">
        <v>4</v>
      </c>
      <c r="F4436">
        <v>21.95</v>
      </c>
      <c r="H4436" t="s">
        <v>5</v>
      </c>
      <c r="I4436" s="1">
        <v>425.62</v>
      </c>
      <c r="J4436" s="1">
        <v>412.62</v>
      </c>
      <c r="K4436" t="s">
        <v>6</v>
      </c>
    </row>
    <row r="4437" spans="1:11">
      <c r="A4437" t="s">
        <v>4552</v>
      </c>
      <c r="B4437">
        <v>521815</v>
      </c>
      <c r="C4437" s="2" t="str">
        <f>"DF110621TY12"</f>
        <v>DF110621TY12</v>
      </c>
      <c r="D4437" t="s">
        <v>4553</v>
      </c>
      <c r="E4437" t="s">
        <v>4</v>
      </c>
      <c r="F4437">
        <v>11.7</v>
      </c>
      <c r="H4437" t="s">
        <v>5</v>
      </c>
      <c r="I4437" s="1">
        <v>17.809999999999999</v>
      </c>
      <c r="J4437" s="1">
        <v>17.37</v>
      </c>
      <c r="K4437" t="s">
        <v>6</v>
      </c>
    </row>
    <row r="4438" spans="1:11">
      <c r="A4438" t="s">
        <v>4552</v>
      </c>
      <c r="B4438">
        <v>521809</v>
      </c>
      <c r="C4438" s="2" t="str">
        <f>"DF110621WL12"</f>
        <v>DF110621WL12</v>
      </c>
      <c r="D4438" t="s">
        <v>4554</v>
      </c>
      <c r="E4438" t="s">
        <v>4</v>
      </c>
      <c r="F4438">
        <v>11.7</v>
      </c>
      <c r="H4438" t="s">
        <v>5</v>
      </c>
      <c r="I4438" s="1">
        <v>17.670000000000002</v>
      </c>
      <c r="J4438" s="1">
        <v>17.23</v>
      </c>
      <c r="K4438" t="s">
        <v>6</v>
      </c>
    </row>
    <row r="4439" spans="1:11">
      <c r="A4439" t="s">
        <v>4555</v>
      </c>
      <c r="B4439">
        <v>352576</v>
      </c>
      <c r="C4439" s="2" t="str">
        <f>"B73310K"</f>
        <v>B73310K</v>
      </c>
      <c r="D4439" t="s">
        <v>4556</v>
      </c>
      <c r="E4439" t="s">
        <v>4</v>
      </c>
      <c r="F4439">
        <v>9.66</v>
      </c>
      <c r="H4439" t="s">
        <v>5</v>
      </c>
      <c r="I4439" s="1">
        <v>18.690000000000001</v>
      </c>
      <c r="J4439" s="1">
        <v>18.690000000000001</v>
      </c>
      <c r="K4439" t="s">
        <v>6</v>
      </c>
    </row>
    <row r="4440" spans="1:11">
      <c r="A4440" t="s">
        <v>4555</v>
      </c>
      <c r="B4440">
        <v>353185</v>
      </c>
      <c r="C4440" s="2" t="str">
        <f>"B73720K"</f>
        <v>B73720K</v>
      </c>
      <c r="D4440" t="s">
        <v>4557</v>
      </c>
      <c r="E4440" t="s">
        <v>4</v>
      </c>
      <c r="F4440">
        <v>11.5</v>
      </c>
      <c r="H4440" t="s">
        <v>5</v>
      </c>
      <c r="I4440" s="1">
        <v>21.28</v>
      </c>
      <c r="J4440" s="1">
        <v>21.28</v>
      </c>
      <c r="K4440" t="s">
        <v>6</v>
      </c>
    </row>
    <row r="4441" spans="1:11">
      <c r="A4441" t="s">
        <v>4555</v>
      </c>
      <c r="B4441">
        <v>351514</v>
      </c>
      <c r="C4441" s="2" t="str">
        <f>"B74020K"</f>
        <v>B74020K</v>
      </c>
      <c r="D4441" t="s">
        <v>4558</v>
      </c>
      <c r="E4441" t="s">
        <v>4</v>
      </c>
      <c r="F4441">
        <v>13.69</v>
      </c>
      <c r="H4441" t="s">
        <v>5</v>
      </c>
      <c r="I4441" s="1">
        <v>25.35</v>
      </c>
      <c r="J4441" s="1">
        <v>25.35</v>
      </c>
      <c r="K4441" t="s">
        <v>6</v>
      </c>
    </row>
    <row r="4442" spans="1:11">
      <c r="A4442" t="s">
        <v>4555</v>
      </c>
      <c r="B4442">
        <v>353183</v>
      </c>
      <c r="C4442" s="2" t="str">
        <f>"B74030K"</f>
        <v>B74030K</v>
      </c>
      <c r="D4442" t="s">
        <v>4559</v>
      </c>
      <c r="E4442" t="s">
        <v>4</v>
      </c>
      <c r="F4442">
        <v>8.85</v>
      </c>
      <c r="H4442" t="s">
        <v>5</v>
      </c>
      <c r="I4442" s="1">
        <v>16.059999999999999</v>
      </c>
      <c r="J4442" s="1">
        <v>16.059999999999999</v>
      </c>
      <c r="K4442" t="s">
        <v>6</v>
      </c>
    </row>
    <row r="4443" spans="1:11">
      <c r="A4443" t="s">
        <v>4555</v>
      </c>
      <c r="B4443">
        <v>352577</v>
      </c>
      <c r="C4443" s="2" t="str">
        <f>"B74820K"</f>
        <v>B74820K</v>
      </c>
      <c r="D4443" t="s">
        <v>4560</v>
      </c>
      <c r="E4443" t="s">
        <v>4</v>
      </c>
      <c r="F4443">
        <v>10.67</v>
      </c>
      <c r="H4443" t="s">
        <v>5</v>
      </c>
      <c r="I4443" s="1">
        <v>19.670000000000002</v>
      </c>
      <c r="J4443" s="1">
        <v>19.670000000000002</v>
      </c>
      <c r="K4443" t="s">
        <v>6</v>
      </c>
    </row>
    <row r="4444" spans="1:11">
      <c r="A4444" t="s">
        <v>4555</v>
      </c>
      <c r="B4444">
        <v>353172</v>
      </c>
      <c r="C4444" s="2" t="str">
        <f>"B74830K"</f>
        <v>B74830K</v>
      </c>
      <c r="D4444" t="s">
        <v>4561</v>
      </c>
      <c r="E4444" t="s">
        <v>4</v>
      </c>
      <c r="F4444">
        <v>12.35</v>
      </c>
      <c r="H4444" t="s">
        <v>5</v>
      </c>
      <c r="I4444" s="1">
        <v>22.85</v>
      </c>
      <c r="J4444" s="1">
        <v>22.85</v>
      </c>
      <c r="K4444" t="s">
        <v>6</v>
      </c>
    </row>
    <row r="4445" spans="1:11">
      <c r="A4445" t="s">
        <v>4555</v>
      </c>
      <c r="B4445">
        <v>351516</v>
      </c>
      <c r="C4445" s="2" t="str">
        <f>"B76020K"</f>
        <v>B76020K</v>
      </c>
      <c r="D4445" t="s">
        <v>4562</v>
      </c>
      <c r="E4445" t="s">
        <v>4</v>
      </c>
      <c r="F4445">
        <v>9.75</v>
      </c>
      <c r="H4445" t="s">
        <v>5</v>
      </c>
      <c r="I4445" s="1">
        <v>17.88</v>
      </c>
      <c r="J4445" s="1">
        <v>17.88</v>
      </c>
      <c r="K4445" t="s">
        <v>6</v>
      </c>
    </row>
    <row r="4446" spans="1:11">
      <c r="A4446" t="s">
        <v>4555</v>
      </c>
      <c r="B4446">
        <v>353184</v>
      </c>
      <c r="C4446" s="2" t="str">
        <f>"B76030K"</f>
        <v>B76030K</v>
      </c>
      <c r="D4446" t="s">
        <v>4563</v>
      </c>
      <c r="E4446" t="s">
        <v>4</v>
      </c>
      <c r="F4446">
        <v>13.92</v>
      </c>
      <c r="H4446" t="s">
        <v>5</v>
      </c>
      <c r="I4446" s="1">
        <v>25.91</v>
      </c>
      <c r="J4446" s="1">
        <v>25.91</v>
      </c>
      <c r="K4446" t="s">
        <v>6</v>
      </c>
    </row>
    <row r="4447" spans="1:11">
      <c r="A4447" t="s">
        <v>4555</v>
      </c>
      <c r="B4447">
        <v>352350</v>
      </c>
      <c r="C4447" s="2" t="str">
        <f>"B76520K"</f>
        <v>B76520K</v>
      </c>
      <c r="D4447" t="s">
        <v>4564</v>
      </c>
      <c r="E4447" t="s">
        <v>4</v>
      </c>
      <c r="F4447">
        <v>10.25</v>
      </c>
      <c r="H4447" t="s">
        <v>5</v>
      </c>
      <c r="I4447" s="1">
        <v>18.850000000000001</v>
      </c>
      <c r="J4447" s="1">
        <v>18.850000000000001</v>
      </c>
      <c r="K4447" t="s">
        <v>6</v>
      </c>
    </row>
    <row r="4448" spans="1:11">
      <c r="A4448" t="s">
        <v>4555</v>
      </c>
      <c r="B4448">
        <v>351517</v>
      </c>
      <c r="C4448" s="2" t="str">
        <f>"B76530K"</f>
        <v>B76530K</v>
      </c>
      <c r="D4448" t="s">
        <v>4565</v>
      </c>
      <c r="E4448" t="s">
        <v>4</v>
      </c>
      <c r="F4448">
        <v>14.66</v>
      </c>
      <c r="H4448" t="s">
        <v>5</v>
      </c>
      <c r="I4448" s="1">
        <v>27.34</v>
      </c>
      <c r="J4448" s="1">
        <v>27.34</v>
      </c>
      <c r="K4448" t="s">
        <v>6</v>
      </c>
    </row>
    <row r="4449" spans="1:11">
      <c r="A4449" t="s">
        <v>4555</v>
      </c>
      <c r="B4449">
        <v>352996</v>
      </c>
      <c r="C4449" s="2" t="str">
        <f>"BP21535C"</f>
        <v>BP21535C</v>
      </c>
      <c r="D4449" t="s">
        <v>4566</v>
      </c>
      <c r="E4449" t="s">
        <v>4</v>
      </c>
      <c r="F4449">
        <v>16.48</v>
      </c>
      <c r="H4449" t="s">
        <v>5</v>
      </c>
      <c r="I4449" s="1">
        <v>32.19</v>
      </c>
      <c r="J4449" s="1">
        <v>32.19</v>
      </c>
      <c r="K4449" t="s">
        <v>6</v>
      </c>
    </row>
    <row r="4450" spans="1:11">
      <c r="A4450" t="s">
        <v>4555</v>
      </c>
      <c r="B4450">
        <v>353433</v>
      </c>
      <c r="C4450" s="2" t="str">
        <f>"DB19HC"</f>
        <v>DB19HC</v>
      </c>
      <c r="D4450" t="s">
        <v>4567</v>
      </c>
      <c r="E4450" t="s">
        <v>4</v>
      </c>
      <c r="F4450">
        <v>7</v>
      </c>
      <c r="H4450" t="s">
        <v>5</v>
      </c>
      <c r="I4450" s="1">
        <v>28.85</v>
      </c>
      <c r="J4450" s="1">
        <v>28.85</v>
      </c>
      <c r="K4450" t="s">
        <v>6</v>
      </c>
    </row>
    <row r="4451" spans="1:11">
      <c r="A4451" t="s">
        <v>4555</v>
      </c>
      <c r="B4451">
        <v>565441</v>
      </c>
      <c r="C4451" s="2" t="str">
        <f>"EC3858135K"</f>
        <v>EC3858135K</v>
      </c>
      <c r="D4451" t="s">
        <v>4568</v>
      </c>
      <c r="E4451" t="s">
        <v>4</v>
      </c>
      <c r="F4451">
        <v>20.62</v>
      </c>
      <c r="H4451" t="s">
        <v>5</v>
      </c>
      <c r="I4451" s="1">
        <v>29.97</v>
      </c>
      <c r="J4451" s="1">
        <v>29.97</v>
      </c>
      <c r="K4451" t="s">
        <v>6</v>
      </c>
    </row>
    <row r="4452" spans="1:11">
      <c r="A4452" t="s">
        <v>4555</v>
      </c>
      <c r="B4452">
        <v>561118</v>
      </c>
      <c r="C4452" s="2" t="str">
        <f>"EC385817K"</f>
        <v>EC385817K</v>
      </c>
      <c r="D4452" t="s">
        <v>4569</v>
      </c>
      <c r="E4452" t="s">
        <v>4</v>
      </c>
      <c r="F4452">
        <v>26.26</v>
      </c>
      <c r="H4452" t="s">
        <v>5</v>
      </c>
      <c r="I4452" s="1">
        <v>38.729999999999997</v>
      </c>
      <c r="J4452" s="1">
        <v>38.729999999999997</v>
      </c>
      <c r="K4452" t="s">
        <v>6</v>
      </c>
    </row>
    <row r="4453" spans="1:11">
      <c r="A4453" t="s">
        <v>4555</v>
      </c>
      <c r="B4453">
        <v>555983</v>
      </c>
      <c r="C4453" s="2" t="str">
        <f>"EC404612K"</f>
        <v>EC404612K</v>
      </c>
      <c r="D4453" t="s">
        <v>4570</v>
      </c>
      <c r="E4453" t="s">
        <v>4</v>
      </c>
      <c r="F4453">
        <v>15.41</v>
      </c>
      <c r="H4453" t="s">
        <v>5</v>
      </c>
      <c r="I4453" s="1">
        <v>21.76</v>
      </c>
      <c r="J4453" s="1">
        <v>21.76</v>
      </c>
      <c r="K4453" t="s">
        <v>6</v>
      </c>
    </row>
    <row r="4454" spans="1:11">
      <c r="A4454" t="s">
        <v>4555</v>
      </c>
      <c r="B4454">
        <v>561120</v>
      </c>
      <c r="C4454" s="2" t="str">
        <f>"EC404615K"</f>
        <v>EC404615K</v>
      </c>
      <c r="D4454" t="s">
        <v>4571</v>
      </c>
      <c r="E4454" t="s">
        <v>4</v>
      </c>
      <c r="F4454">
        <v>19.18</v>
      </c>
      <c r="H4454" t="s">
        <v>5</v>
      </c>
      <c r="I4454" s="1">
        <v>28.04</v>
      </c>
      <c r="J4454" s="1">
        <v>28.04</v>
      </c>
      <c r="K4454" t="s">
        <v>6</v>
      </c>
    </row>
    <row r="4455" spans="1:11">
      <c r="A4455" t="s">
        <v>4555</v>
      </c>
      <c r="B4455">
        <v>561121</v>
      </c>
      <c r="C4455" s="2" t="str">
        <f>"EC404617K"</f>
        <v>EC404617K</v>
      </c>
      <c r="D4455" t="s">
        <v>4571</v>
      </c>
      <c r="E4455" t="s">
        <v>4</v>
      </c>
      <c r="F4455">
        <v>22.05</v>
      </c>
      <c r="H4455" t="s">
        <v>5</v>
      </c>
      <c r="I4455" s="1">
        <v>32.369999999999997</v>
      </c>
      <c r="J4455" s="1">
        <v>32.369999999999997</v>
      </c>
      <c r="K4455" t="s">
        <v>6</v>
      </c>
    </row>
    <row r="4456" spans="1:11">
      <c r="A4456" t="s">
        <v>4555</v>
      </c>
      <c r="B4456">
        <v>351519</v>
      </c>
      <c r="C4456" s="2" t="str">
        <f>"H24330EC"</f>
        <v>H24330EC</v>
      </c>
      <c r="D4456" t="s">
        <v>4572</v>
      </c>
      <c r="E4456" t="s">
        <v>4</v>
      </c>
      <c r="F4456">
        <v>18.09</v>
      </c>
      <c r="H4456" t="s">
        <v>5</v>
      </c>
      <c r="I4456" s="1">
        <v>34.590000000000003</v>
      </c>
      <c r="J4456" s="1">
        <v>34.590000000000003</v>
      </c>
      <c r="K4456" t="s">
        <v>6</v>
      </c>
    </row>
    <row r="4457" spans="1:11">
      <c r="A4457" t="s">
        <v>4555</v>
      </c>
      <c r="B4457">
        <v>353499</v>
      </c>
      <c r="C4457" s="2" t="str">
        <f>"H24339EC"</f>
        <v>H24339EC</v>
      </c>
      <c r="D4457" t="s">
        <v>4573</v>
      </c>
      <c r="E4457" t="s">
        <v>4</v>
      </c>
      <c r="F4457">
        <v>13.67</v>
      </c>
      <c r="H4457" t="s">
        <v>5</v>
      </c>
      <c r="I4457" s="1">
        <v>26</v>
      </c>
      <c r="J4457" s="1">
        <v>26</v>
      </c>
      <c r="K4457" t="s">
        <v>6</v>
      </c>
    </row>
    <row r="4458" spans="1:11">
      <c r="A4458" t="s">
        <v>4555</v>
      </c>
      <c r="B4458">
        <v>351520</v>
      </c>
      <c r="C4458" s="2" t="str">
        <f>"H30372EC"</f>
        <v>H30372EC</v>
      </c>
      <c r="D4458" t="s">
        <v>4574</v>
      </c>
      <c r="E4458" t="s">
        <v>4</v>
      </c>
      <c r="F4458">
        <v>18.96</v>
      </c>
      <c r="H4458" t="s">
        <v>5</v>
      </c>
      <c r="I4458" s="1">
        <v>35.28</v>
      </c>
      <c r="J4458" s="1">
        <v>35.28</v>
      </c>
      <c r="K4458" t="s">
        <v>6</v>
      </c>
    </row>
    <row r="4459" spans="1:11">
      <c r="A4459" t="s">
        <v>4555</v>
      </c>
      <c r="B4459">
        <v>351522</v>
      </c>
      <c r="C4459" s="2" t="str">
        <f>"H33402EC"</f>
        <v>H33402EC</v>
      </c>
      <c r="D4459" t="s">
        <v>4575</v>
      </c>
      <c r="E4459" t="s">
        <v>4</v>
      </c>
      <c r="F4459">
        <v>11.53</v>
      </c>
      <c r="H4459" t="s">
        <v>5</v>
      </c>
      <c r="I4459" s="1">
        <v>19.829999999999998</v>
      </c>
      <c r="J4459" s="1">
        <v>19.829999999999998</v>
      </c>
      <c r="K4459" t="s">
        <v>6</v>
      </c>
    </row>
    <row r="4460" spans="1:11">
      <c r="A4460" t="s">
        <v>4555</v>
      </c>
      <c r="B4460">
        <v>351523</v>
      </c>
      <c r="C4460" s="2" t="str">
        <f>"H33403EC"</f>
        <v>H33403EC</v>
      </c>
      <c r="D4460" t="s">
        <v>4576</v>
      </c>
      <c r="E4460" t="s">
        <v>4</v>
      </c>
      <c r="F4460">
        <v>15.09</v>
      </c>
      <c r="H4460" t="s">
        <v>5</v>
      </c>
      <c r="I4460" s="1">
        <v>26.34</v>
      </c>
      <c r="J4460" s="1">
        <v>26.34</v>
      </c>
      <c r="K4460" t="s">
        <v>6</v>
      </c>
    </row>
    <row r="4461" spans="1:11">
      <c r="A4461" t="s">
        <v>4555</v>
      </c>
      <c r="B4461">
        <v>351528</v>
      </c>
      <c r="C4461" s="2" t="str">
        <f>"H36602EC"</f>
        <v>H36602EC</v>
      </c>
      <c r="D4461" t="s">
        <v>4577</v>
      </c>
      <c r="E4461" t="s">
        <v>4</v>
      </c>
      <c r="F4461">
        <v>14.83</v>
      </c>
      <c r="H4461" t="s">
        <v>5</v>
      </c>
      <c r="I4461" s="1">
        <v>25.84</v>
      </c>
      <c r="J4461" s="1">
        <v>25.84</v>
      </c>
      <c r="K4461" t="s">
        <v>6</v>
      </c>
    </row>
    <row r="4462" spans="1:11">
      <c r="A4462" t="s">
        <v>4555</v>
      </c>
      <c r="B4462">
        <v>352974</v>
      </c>
      <c r="C4462" s="2" t="str">
        <f>"H36603EC"</f>
        <v>H36603EC</v>
      </c>
      <c r="D4462" t="s">
        <v>4578</v>
      </c>
      <c r="E4462" t="s">
        <v>4</v>
      </c>
      <c r="F4462">
        <v>19.649999999999999</v>
      </c>
      <c r="H4462" t="s">
        <v>5</v>
      </c>
      <c r="I4462" s="1">
        <v>34.44</v>
      </c>
      <c r="J4462" s="1">
        <v>34.44</v>
      </c>
      <c r="K4462" t="s">
        <v>6</v>
      </c>
    </row>
    <row r="4463" spans="1:11">
      <c r="A4463" t="s">
        <v>4555</v>
      </c>
      <c r="B4463">
        <v>351529</v>
      </c>
      <c r="C4463" s="2" t="str">
        <f>"H38602EC"</f>
        <v>H38602EC</v>
      </c>
      <c r="D4463" t="s">
        <v>4579</v>
      </c>
      <c r="E4463" t="s">
        <v>4</v>
      </c>
      <c r="F4463">
        <v>18.22</v>
      </c>
      <c r="H4463" t="s">
        <v>5</v>
      </c>
      <c r="I4463" s="1">
        <v>31.84</v>
      </c>
      <c r="J4463" s="1">
        <v>31.84</v>
      </c>
      <c r="K4463" t="s">
        <v>6</v>
      </c>
    </row>
    <row r="4464" spans="1:11">
      <c r="A4464" t="s">
        <v>4555</v>
      </c>
      <c r="B4464">
        <v>351530</v>
      </c>
      <c r="C4464" s="2" t="str">
        <f>"H38603EC"</f>
        <v>H38603EC</v>
      </c>
      <c r="D4464" t="s">
        <v>4580</v>
      </c>
      <c r="E4464" t="s">
        <v>4</v>
      </c>
      <c r="F4464">
        <v>20.68</v>
      </c>
      <c r="H4464" t="s">
        <v>5</v>
      </c>
      <c r="I4464" s="1">
        <v>36.31</v>
      </c>
      <c r="J4464" s="1">
        <v>36.31</v>
      </c>
      <c r="K4464" t="s">
        <v>6</v>
      </c>
    </row>
    <row r="4465" spans="1:11">
      <c r="A4465" t="s">
        <v>4555</v>
      </c>
      <c r="B4465">
        <v>351524</v>
      </c>
      <c r="C4465" s="2" t="str">
        <f>"H40482EC"</f>
        <v>H40482EC</v>
      </c>
      <c r="D4465" t="s">
        <v>4581</v>
      </c>
      <c r="E4465" t="s">
        <v>4</v>
      </c>
      <c r="F4465">
        <v>16.53</v>
      </c>
      <c r="H4465" t="s">
        <v>5</v>
      </c>
      <c r="I4465" s="1">
        <v>28.74</v>
      </c>
      <c r="J4465" s="1">
        <v>28.74</v>
      </c>
      <c r="K4465" t="s">
        <v>6</v>
      </c>
    </row>
    <row r="4466" spans="1:11">
      <c r="A4466" t="s">
        <v>4555</v>
      </c>
      <c r="B4466">
        <v>351525</v>
      </c>
      <c r="C4466" s="2" t="str">
        <f>"H40483EC"</f>
        <v>H40483EC</v>
      </c>
      <c r="D4466" t="s">
        <v>4582</v>
      </c>
      <c r="E4466" t="s">
        <v>4</v>
      </c>
      <c r="F4466">
        <v>21.72</v>
      </c>
      <c r="H4466" t="s">
        <v>5</v>
      </c>
      <c r="I4466" s="1">
        <v>38.22</v>
      </c>
      <c r="J4466" s="1">
        <v>38.22</v>
      </c>
      <c r="K4466" t="s">
        <v>6</v>
      </c>
    </row>
    <row r="4467" spans="1:11">
      <c r="A4467" t="s">
        <v>4555</v>
      </c>
      <c r="B4467">
        <v>351527</v>
      </c>
      <c r="C4467" s="2" t="str">
        <f>"H43483EC"</f>
        <v>H43483EC</v>
      </c>
      <c r="D4467" t="s">
        <v>4583</v>
      </c>
      <c r="E4467" t="s">
        <v>4</v>
      </c>
      <c r="F4467">
        <v>18.82</v>
      </c>
      <c r="H4467" t="s">
        <v>5</v>
      </c>
      <c r="I4467" s="1">
        <v>32.93</v>
      </c>
      <c r="J4467" s="1">
        <v>32.93</v>
      </c>
      <c r="K4467" t="s">
        <v>6</v>
      </c>
    </row>
    <row r="4468" spans="1:11">
      <c r="A4468" t="s">
        <v>4555</v>
      </c>
      <c r="B4468">
        <v>390245</v>
      </c>
      <c r="C4468" s="2" t="str">
        <f>"IB100HC"</f>
        <v>IB100HC</v>
      </c>
      <c r="D4468" t="s">
        <v>4584</v>
      </c>
      <c r="E4468" t="s">
        <v>4</v>
      </c>
      <c r="F4468">
        <v>29.4</v>
      </c>
      <c r="H4468" t="s">
        <v>5</v>
      </c>
      <c r="I4468" s="1">
        <v>63.96</v>
      </c>
      <c r="J4468" s="1">
        <v>63.96</v>
      </c>
      <c r="K4468" t="s">
        <v>6</v>
      </c>
    </row>
    <row r="4469" spans="1:11">
      <c r="A4469" t="s">
        <v>4555</v>
      </c>
      <c r="B4469">
        <v>353950</v>
      </c>
      <c r="C4469" s="2" t="str">
        <f>"IB10HC"</f>
        <v>IB10HC</v>
      </c>
      <c r="D4469" t="s">
        <v>4585</v>
      </c>
      <c r="E4469" t="s">
        <v>4</v>
      </c>
      <c r="F4469">
        <v>26</v>
      </c>
      <c r="H4469" t="s">
        <v>5</v>
      </c>
      <c r="I4469" s="1">
        <v>69.86</v>
      </c>
      <c r="J4469" s="1">
        <v>69.86</v>
      </c>
      <c r="K4469" t="s">
        <v>6</v>
      </c>
    </row>
    <row r="4470" spans="1:11">
      <c r="A4470" t="s">
        <v>4555</v>
      </c>
      <c r="B4470">
        <v>459539</v>
      </c>
      <c r="C4470" s="2" t="str">
        <f>"IB8HC"</f>
        <v>IB8HC</v>
      </c>
      <c r="D4470" t="s">
        <v>4586</v>
      </c>
      <c r="E4470" t="s">
        <v>4</v>
      </c>
      <c r="F4470">
        <v>24.64</v>
      </c>
      <c r="H4470" t="s">
        <v>5</v>
      </c>
      <c r="I4470" s="1">
        <v>56.23</v>
      </c>
      <c r="J4470" s="1">
        <v>56.23</v>
      </c>
      <c r="K4470" t="s">
        <v>6</v>
      </c>
    </row>
    <row r="4471" spans="1:11">
      <c r="A4471" t="s">
        <v>4555</v>
      </c>
      <c r="B4471">
        <v>362272</v>
      </c>
      <c r="C4471" s="2" t="str">
        <f>"MR24330MC"</f>
        <v>MR24330MC</v>
      </c>
      <c r="D4471" t="s">
        <v>4587</v>
      </c>
      <c r="E4471" t="s">
        <v>4</v>
      </c>
      <c r="F4471">
        <v>18.09</v>
      </c>
      <c r="H4471" t="s">
        <v>5</v>
      </c>
      <c r="I4471" s="1">
        <v>33.590000000000003</v>
      </c>
      <c r="J4471" s="1">
        <v>33.590000000000003</v>
      </c>
      <c r="K4471" t="s">
        <v>6</v>
      </c>
    </row>
    <row r="4472" spans="1:11">
      <c r="A4472" t="s">
        <v>4555</v>
      </c>
      <c r="B4472">
        <v>423517</v>
      </c>
      <c r="C4472" s="2" t="str">
        <f>"MR24339MC"</f>
        <v>MR24339MC</v>
      </c>
      <c r="D4472" t="s">
        <v>4588</v>
      </c>
      <c r="E4472" t="s">
        <v>4</v>
      </c>
      <c r="F4472">
        <v>13.67</v>
      </c>
      <c r="H4472" t="s">
        <v>5</v>
      </c>
      <c r="I4472" s="1">
        <v>25.25</v>
      </c>
      <c r="J4472" s="1">
        <v>25.25</v>
      </c>
      <c r="K4472" t="s">
        <v>6</v>
      </c>
    </row>
    <row r="4473" spans="1:11">
      <c r="A4473" t="s">
        <v>4555</v>
      </c>
      <c r="B4473">
        <v>428841</v>
      </c>
      <c r="C4473" s="2" t="str">
        <f>"MR30370MC"</f>
        <v>MR30370MC</v>
      </c>
      <c r="D4473" t="s">
        <v>4589</v>
      </c>
      <c r="E4473" t="s">
        <v>4</v>
      </c>
      <c r="F4473">
        <v>12.82</v>
      </c>
      <c r="H4473" t="s">
        <v>5</v>
      </c>
      <c r="I4473" s="1">
        <v>23.6</v>
      </c>
      <c r="J4473" s="1">
        <v>23.6</v>
      </c>
      <c r="K4473" t="s">
        <v>6</v>
      </c>
    </row>
    <row r="4474" spans="1:11">
      <c r="A4474" t="s">
        <v>4555</v>
      </c>
      <c r="B4474">
        <v>424812</v>
      </c>
      <c r="C4474" s="2" t="str">
        <f>"MR30371MC"</f>
        <v>MR30371MC</v>
      </c>
      <c r="D4474" t="s">
        <v>4590</v>
      </c>
      <c r="E4474" t="s">
        <v>4</v>
      </c>
      <c r="F4474">
        <v>15.82</v>
      </c>
      <c r="H4474" t="s">
        <v>5</v>
      </c>
      <c r="I4474" s="1">
        <v>29.41</v>
      </c>
      <c r="J4474" s="1">
        <v>29.41</v>
      </c>
      <c r="K4474" t="s">
        <v>6</v>
      </c>
    </row>
    <row r="4475" spans="1:11">
      <c r="A4475" t="s">
        <v>4555</v>
      </c>
      <c r="B4475">
        <v>360517</v>
      </c>
      <c r="C4475" s="2" t="str">
        <f>"MR30372MC"</f>
        <v>MR30372MC</v>
      </c>
      <c r="D4475" t="s">
        <v>4591</v>
      </c>
      <c r="E4475" t="s">
        <v>4</v>
      </c>
      <c r="F4475">
        <v>18.96</v>
      </c>
      <c r="H4475" t="s">
        <v>5</v>
      </c>
      <c r="I4475" s="1">
        <v>33.18</v>
      </c>
      <c r="J4475" s="1">
        <v>33.18</v>
      </c>
      <c r="K4475" t="s">
        <v>6</v>
      </c>
    </row>
    <row r="4476" spans="1:11">
      <c r="A4476" t="s">
        <v>4555</v>
      </c>
      <c r="B4476">
        <v>355713</v>
      </c>
      <c r="C4476" s="2" t="str">
        <f>"MR33402MC"</f>
        <v>MR33402MC</v>
      </c>
      <c r="D4476" t="s">
        <v>4592</v>
      </c>
      <c r="E4476" t="s">
        <v>4</v>
      </c>
      <c r="F4476">
        <v>11.53</v>
      </c>
      <c r="H4476" t="s">
        <v>5</v>
      </c>
      <c r="I4476" s="1">
        <v>19.829999999999998</v>
      </c>
      <c r="J4476" s="1">
        <v>19.829999999999998</v>
      </c>
      <c r="K4476" t="s">
        <v>6</v>
      </c>
    </row>
    <row r="4477" spans="1:11">
      <c r="A4477" t="s">
        <v>4555</v>
      </c>
      <c r="B4477">
        <v>353096</v>
      </c>
      <c r="C4477" s="2" t="str">
        <f>"MR33403MC"</f>
        <v>MR33403MC</v>
      </c>
      <c r="D4477" t="s">
        <v>4593</v>
      </c>
      <c r="E4477" t="s">
        <v>4</v>
      </c>
      <c r="F4477">
        <v>15.09</v>
      </c>
      <c r="H4477" t="s">
        <v>5</v>
      </c>
      <c r="I4477" s="1">
        <v>26.34</v>
      </c>
      <c r="J4477" s="1">
        <v>26.34</v>
      </c>
      <c r="K4477" t="s">
        <v>6</v>
      </c>
    </row>
    <row r="4478" spans="1:11">
      <c r="A4478" t="s">
        <v>4555</v>
      </c>
      <c r="B4478">
        <v>365200</v>
      </c>
      <c r="C4478" s="2" t="str">
        <f>"MR36603MC"</f>
        <v>MR36603MC</v>
      </c>
      <c r="D4478" t="s">
        <v>4594</v>
      </c>
      <c r="E4478" t="s">
        <v>4</v>
      </c>
      <c r="F4478">
        <v>19.649999999999999</v>
      </c>
      <c r="H4478" t="s">
        <v>5</v>
      </c>
      <c r="I4478" s="1">
        <v>34.44</v>
      </c>
      <c r="J4478" s="1">
        <v>34.44</v>
      </c>
      <c r="K4478" t="s">
        <v>6</v>
      </c>
    </row>
    <row r="4479" spans="1:11">
      <c r="A4479" t="s">
        <v>4555</v>
      </c>
      <c r="B4479">
        <v>396033</v>
      </c>
      <c r="C4479" s="2" t="str">
        <f>"MR36604MK"</f>
        <v>MR36604MK</v>
      </c>
      <c r="D4479" t="s">
        <v>4595</v>
      </c>
      <c r="E4479" t="s">
        <v>4</v>
      </c>
      <c r="F4479">
        <v>20.23</v>
      </c>
      <c r="H4479" t="s">
        <v>5</v>
      </c>
      <c r="I4479" s="1">
        <v>35.5</v>
      </c>
      <c r="J4479" s="1">
        <v>35.5</v>
      </c>
      <c r="K4479" t="s">
        <v>6</v>
      </c>
    </row>
    <row r="4480" spans="1:11">
      <c r="A4480" t="s">
        <v>4555</v>
      </c>
      <c r="B4480">
        <v>353097</v>
      </c>
      <c r="C4480" s="2" t="str">
        <f>"MR38603MC"</f>
        <v>MR38603MC</v>
      </c>
      <c r="D4480" t="s">
        <v>4596</v>
      </c>
      <c r="E4480" t="s">
        <v>4</v>
      </c>
      <c r="F4480">
        <v>20.68</v>
      </c>
      <c r="H4480" t="s">
        <v>5</v>
      </c>
      <c r="I4480" s="1">
        <v>36.31</v>
      </c>
      <c r="J4480" s="1">
        <v>36.31</v>
      </c>
      <c r="K4480" t="s">
        <v>6</v>
      </c>
    </row>
    <row r="4481" spans="1:11">
      <c r="A4481" t="s">
        <v>4555</v>
      </c>
      <c r="B4481">
        <v>388480</v>
      </c>
      <c r="C4481" s="2" t="str">
        <f>"MR38604MK"</f>
        <v>MR38604MK</v>
      </c>
      <c r="D4481" t="s">
        <v>4597</v>
      </c>
      <c r="E4481" t="s">
        <v>4</v>
      </c>
      <c r="F4481">
        <v>21.3</v>
      </c>
      <c r="H4481" t="s">
        <v>5</v>
      </c>
      <c r="I4481" s="1">
        <v>37.450000000000003</v>
      </c>
      <c r="J4481" s="1">
        <v>37.450000000000003</v>
      </c>
      <c r="K4481" t="s">
        <v>6</v>
      </c>
    </row>
    <row r="4482" spans="1:11">
      <c r="A4482" t="s">
        <v>4555</v>
      </c>
      <c r="B4482">
        <v>353526</v>
      </c>
      <c r="C4482" s="2" t="str">
        <f>"MR40482MC"</f>
        <v>MR40482MC</v>
      </c>
      <c r="D4482" t="s">
        <v>4598</v>
      </c>
      <c r="E4482" t="s">
        <v>4</v>
      </c>
      <c r="F4482">
        <v>16.53</v>
      </c>
      <c r="H4482" t="s">
        <v>5</v>
      </c>
      <c r="I4482" s="1">
        <v>28.74</v>
      </c>
      <c r="J4482" s="1">
        <v>28.74</v>
      </c>
      <c r="K4482" t="s">
        <v>6</v>
      </c>
    </row>
    <row r="4483" spans="1:11">
      <c r="A4483" t="s">
        <v>4555</v>
      </c>
      <c r="B4483">
        <v>353388</v>
      </c>
      <c r="C4483" s="2" t="str">
        <f>"MR40483MC"</f>
        <v>MR40483MC</v>
      </c>
      <c r="D4483" t="s">
        <v>4599</v>
      </c>
      <c r="E4483" t="s">
        <v>4</v>
      </c>
      <c r="F4483">
        <v>21.72</v>
      </c>
      <c r="H4483" t="s">
        <v>5</v>
      </c>
      <c r="I4483" s="1">
        <v>38.22</v>
      </c>
      <c r="J4483" s="1">
        <v>38.22</v>
      </c>
      <c r="K4483" t="s">
        <v>6</v>
      </c>
    </row>
    <row r="4484" spans="1:11">
      <c r="A4484" t="s">
        <v>4555</v>
      </c>
      <c r="B4484">
        <v>412931</v>
      </c>
      <c r="C4484" s="2" t="str">
        <f>"MR40484MC"</f>
        <v>MR40484MC</v>
      </c>
      <c r="D4484" t="s">
        <v>4600</v>
      </c>
      <c r="E4484" t="s">
        <v>4</v>
      </c>
      <c r="F4484">
        <v>18.09</v>
      </c>
      <c r="H4484" t="s">
        <v>5</v>
      </c>
      <c r="I4484" s="1">
        <v>31.59</v>
      </c>
      <c r="J4484" s="1">
        <v>31.59</v>
      </c>
      <c r="K4484" t="s">
        <v>6</v>
      </c>
    </row>
    <row r="4485" spans="1:11">
      <c r="A4485" t="s">
        <v>4555</v>
      </c>
      <c r="B4485">
        <v>382804</v>
      </c>
      <c r="C4485" s="2" t="str">
        <f>"MR40484MK"</f>
        <v>MR40484MK</v>
      </c>
      <c r="D4485" t="s">
        <v>4601</v>
      </c>
      <c r="E4485" t="s">
        <v>4</v>
      </c>
      <c r="F4485">
        <v>18.09</v>
      </c>
      <c r="H4485" t="s">
        <v>5</v>
      </c>
      <c r="I4485" s="1">
        <v>31.59</v>
      </c>
      <c r="J4485" s="1">
        <v>31.59</v>
      </c>
      <c r="K4485" t="s">
        <v>6</v>
      </c>
    </row>
    <row r="4486" spans="1:11">
      <c r="A4486" t="s">
        <v>4555</v>
      </c>
      <c r="B4486">
        <v>353094</v>
      </c>
      <c r="C4486" s="2" t="str">
        <f>"MR43483MC"</f>
        <v>MR43483MC</v>
      </c>
      <c r="D4486" t="s">
        <v>4602</v>
      </c>
      <c r="E4486" t="s">
        <v>4</v>
      </c>
      <c r="F4486">
        <v>18.82</v>
      </c>
      <c r="H4486" t="s">
        <v>5</v>
      </c>
      <c r="I4486" s="1">
        <v>32.93</v>
      </c>
      <c r="J4486" s="1">
        <v>32.93</v>
      </c>
      <c r="K4486" t="s">
        <v>6</v>
      </c>
    </row>
    <row r="4487" spans="1:11">
      <c r="A4487" t="s">
        <v>4555</v>
      </c>
      <c r="B4487">
        <v>561130</v>
      </c>
      <c r="C4487" s="2" t="str">
        <f>"MT331XW"</f>
        <v>MT331XW</v>
      </c>
      <c r="D4487" t="s">
        <v>4603</v>
      </c>
      <c r="E4487" t="s">
        <v>4</v>
      </c>
      <c r="F4487">
        <v>12.21</v>
      </c>
      <c r="H4487" t="s">
        <v>5</v>
      </c>
      <c r="I4487" s="1">
        <v>22.59</v>
      </c>
      <c r="J4487" s="1">
        <v>22.59</v>
      </c>
      <c r="K4487" t="s">
        <v>6</v>
      </c>
    </row>
    <row r="4488" spans="1:11">
      <c r="A4488" t="s">
        <v>4555</v>
      </c>
      <c r="B4488">
        <v>561136</v>
      </c>
      <c r="C4488" s="2" t="str">
        <f>"MT403XW"</f>
        <v>MT403XW</v>
      </c>
      <c r="D4488" t="s">
        <v>4604</v>
      </c>
      <c r="E4488" t="s">
        <v>4</v>
      </c>
      <c r="F4488">
        <v>12.92</v>
      </c>
      <c r="H4488" t="s">
        <v>5</v>
      </c>
      <c r="I4488" s="1">
        <v>23.99</v>
      </c>
      <c r="J4488" s="1">
        <v>23.99</v>
      </c>
      <c r="K4488" t="s">
        <v>6</v>
      </c>
    </row>
    <row r="4489" spans="1:11">
      <c r="A4489" t="s">
        <v>4555</v>
      </c>
      <c r="B4489">
        <v>561140</v>
      </c>
      <c r="C4489" s="2" t="str">
        <f>"MT483XW"</f>
        <v>MT483XW</v>
      </c>
      <c r="D4489" t="s">
        <v>4605</v>
      </c>
      <c r="E4489" t="s">
        <v>4</v>
      </c>
      <c r="F4489">
        <v>12.34</v>
      </c>
      <c r="H4489" t="s">
        <v>5</v>
      </c>
      <c r="I4489" s="1">
        <v>22.87</v>
      </c>
      <c r="J4489" s="1">
        <v>22.87</v>
      </c>
      <c r="K4489" t="s">
        <v>6</v>
      </c>
    </row>
    <row r="4490" spans="1:11">
      <c r="A4490" t="s">
        <v>4555</v>
      </c>
      <c r="B4490">
        <v>561148</v>
      </c>
      <c r="C4490" s="2" t="str">
        <f>"MT603XW"</f>
        <v>MT603XW</v>
      </c>
      <c r="D4490" t="s">
        <v>4606</v>
      </c>
      <c r="E4490" t="s">
        <v>4</v>
      </c>
      <c r="F4490">
        <v>14.65</v>
      </c>
      <c r="H4490" t="s">
        <v>5</v>
      </c>
      <c r="I4490" s="1">
        <v>27.34</v>
      </c>
      <c r="J4490" s="1">
        <v>27.34</v>
      </c>
      <c r="K4490" t="s">
        <v>6</v>
      </c>
    </row>
    <row r="4491" spans="1:11">
      <c r="A4491" t="s">
        <v>4555</v>
      </c>
      <c r="B4491">
        <v>376494</v>
      </c>
      <c r="C4491" s="2" t="str">
        <f>"P12722W"</f>
        <v>P12722W</v>
      </c>
      <c r="D4491" t="s">
        <v>4607</v>
      </c>
      <c r="E4491" t="s">
        <v>4</v>
      </c>
      <c r="F4491">
        <v>15</v>
      </c>
      <c r="H4491" t="s">
        <v>5</v>
      </c>
      <c r="I4491" s="1">
        <v>25.45</v>
      </c>
      <c r="J4491" s="1">
        <v>25.45</v>
      </c>
      <c r="K4491" t="s">
        <v>6</v>
      </c>
    </row>
    <row r="4492" spans="1:11">
      <c r="A4492" t="s">
        <v>4555</v>
      </c>
      <c r="B4492">
        <v>351505</v>
      </c>
      <c r="C4492" s="2" t="str">
        <f>"P2410B"</f>
        <v>P2410B</v>
      </c>
      <c r="D4492" t="s">
        <v>4608</v>
      </c>
      <c r="E4492" t="s">
        <v>4</v>
      </c>
      <c r="F4492">
        <v>7.14</v>
      </c>
      <c r="H4492" t="s">
        <v>5</v>
      </c>
      <c r="I4492" s="1">
        <v>13.51</v>
      </c>
      <c r="J4492" s="1">
        <v>13.51</v>
      </c>
      <c r="K4492" t="s">
        <v>6</v>
      </c>
    </row>
    <row r="4493" spans="1:11">
      <c r="A4493" t="s">
        <v>4555</v>
      </c>
      <c r="B4493">
        <v>353303</v>
      </c>
      <c r="C4493" s="2" t="str">
        <f>"P2410C"</f>
        <v>P2410C</v>
      </c>
      <c r="D4493" t="s">
        <v>4609</v>
      </c>
      <c r="E4493" t="s">
        <v>4</v>
      </c>
      <c r="F4493">
        <v>7.14</v>
      </c>
      <c r="H4493" t="s">
        <v>5</v>
      </c>
      <c r="I4493" s="1">
        <v>13.51</v>
      </c>
      <c r="J4493" s="1">
        <v>13.51</v>
      </c>
      <c r="K4493" t="s">
        <v>6</v>
      </c>
    </row>
    <row r="4494" spans="1:11">
      <c r="A4494" t="s">
        <v>4555</v>
      </c>
      <c r="B4494">
        <v>352361</v>
      </c>
      <c r="C4494" s="2" t="str">
        <f>"P3310B"</f>
        <v>P3310B</v>
      </c>
      <c r="D4494" t="s">
        <v>4610</v>
      </c>
      <c r="E4494" t="s">
        <v>4</v>
      </c>
      <c r="F4494">
        <v>9.66</v>
      </c>
      <c r="H4494" t="s">
        <v>5</v>
      </c>
      <c r="I4494" s="1">
        <v>17.649999999999999</v>
      </c>
      <c r="J4494" s="1">
        <v>17.649999999999999</v>
      </c>
      <c r="K4494" t="s">
        <v>6</v>
      </c>
    </row>
    <row r="4495" spans="1:11">
      <c r="A4495" t="s">
        <v>4555</v>
      </c>
      <c r="B4495">
        <v>352428</v>
      </c>
      <c r="C4495" s="2" t="str">
        <f>"P3310C"</f>
        <v>P3310C</v>
      </c>
      <c r="D4495" t="s">
        <v>4611</v>
      </c>
      <c r="E4495" t="s">
        <v>4</v>
      </c>
      <c r="F4495">
        <v>9.66</v>
      </c>
      <c r="H4495" t="s">
        <v>5</v>
      </c>
      <c r="I4495" s="1">
        <v>17.649999999999999</v>
      </c>
      <c r="J4495" s="1">
        <v>17.649999999999999</v>
      </c>
      <c r="K4495" t="s">
        <v>6</v>
      </c>
    </row>
    <row r="4496" spans="1:11">
      <c r="A4496" t="s">
        <v>4555</v>
      </c>
      <c r="B4496">
        <v>351506</v>
      </c>
      <c r="C4496" s="2" t="str">
        <f>"P3715B"</f>
        <v>P3715B</v>
      </c>
      <c r="D4496" t="s">
        <v>4612</v>
      </c>
      <c r="E4496" t="s">
        <v>4</v>
      </c>
      <c r="F4496">
        <v>10.6</v>
      </c>
      <c r="H4496" t="s">
        <v>5</v>
      </c>
      <c r="I4496" s="1">
        <v>19.47</v>
      </c>
      <c r="J4496" s="1">
        <v>19.47</v>
      </c>
      <c r="K4496" t="s">
        <v>6</v>
      </c>
    </row>
    <row r="4497" spans="1:11">
      <c r="A4497" t="s">
        <v>4555</v>
      </c>
      <c r="B4497">
        <v>353151</v>
      </c>
      <c r="C4497" s="2" t="str">
        <f>"P3715C"</f>
        <v>P3715C</v>
      </c>
      <c r="D4497" t="s">
        <v>4613</v>
      </c>
      <c r="E4497" t="s">
        <v>4</v>
      </c>
      <c r="F4497">
        <v>9.6999999999999993</v>
      </c>
      <c r="H4497" t="s">
        <v>5</v>
      </c>
      <c r="I4497" s="1">
        <v>17.649999999999999</v>
      </c>
      <c r="J4497" s="1">
        <v>17.649999999999999</v>
      </c>
      <c r="K4497" t="s">
        <v>6</v>
      </c>
    </row>
    <row r="4498" spans="1:11">
      <c r="A4498" t="s">
        <v>4555</v>
      </c>
      <c r="B4498">
        <v>352493</v>
      </c>
      <c r="C4498" s="2" t="str">
        <f>"P3720B"</f>
        <v>P3720B</v>
      </c>
      <c r="D4498" t="s">
        <v>4614</v>
      </c>
      <c r="E4498" t="s">
        <v>4</v>
      </c>
      <c r="F4498">
        <v>14.32</v>
      </c>
      <c r="H4498" t="s">
        <v>5</v>
      </c>
      <c r="I4498" s="1">
        <v>26.51</v>
      </c>
      <c r="J4498" s="1">
        <v>26.51</v>
      </c>
      <c r="K4498" t="s">
        <v>6</v>
      </c>
    </row>
    <row r="4499" spans="1:11">
      <c r="A4499" t="s">
        <v>4555</v>
      </c>
      <c r="B4499">
        <v>358860</v>
      </c>
      <c r="C4499" s="2" t="str">
        <f>"P3720C"</f>
        <v>P3720C</v>
      </c>
      <c r="D4499" t="s">
        <v>4615</v>
      </c>
      <c r="E4499" t="s">
        <v>4</v>
      </c>
      <c r="F4499">
        <v>13.42</v>
      </c>
      <c r="H4499" t="s">
        <v>5</v>
      </c>
      <c r="I4499" s="1">
        <v>24.7</v>
      </c>
      <c r="J4499" s="1">
        <v>24.7</v>
      </c>
      <c r="K4499" t="s">
        <v>6</v>
      </c>
    </row>
    <row r="4500" spans="1:11">
      <c r="A4500" t="s">
        <v>4555</v>
      </c>
      <c r="B4500">
        <v>352706</v>
      </c>
      <c r="C4500" s="2" t="str">
        <f>"P4015B"</f>
        <v>P4015B</v>
      </c>
      <c r="D4500" t="s">
        <v>4616</v>
      </c>
      <c r="E4500" t="s">
        <v>4</v>
      </c>
      <c r="F4500">
        <v>12.62</v>
      </c>
      <c r="H4500" t="s">
        <v>5</v>
      </c>
      <c r="I4500" s="1">
        <v>23.21</v>
      </c>
      <c r="J4500" s="1">
        <v>23.21</v>
      </c>
      <c r="K4500" t="s">
        <v>6</v>
      </c>
    </row>
    <row r="4501" spans="1:11">
      <c r="A4501" t="s">
        <v>4555</v>
      </c>
      <c r="B4501">
        <v>351507</v>
      </c>
      <c r="C4501" s="2" t="str">
        <f>"P4020B"</f>
        <v>P4020B</v>
      </c>
      <c r="D4501" t="s">
        <v>4617</v>
      </c>
      <c r="E4501" t="s">
        <v>4</v>
      </c>
      <c r="F4501">
        <v>17.05</v>
      </c>
      <c r="H4501" t="s">
        <v>5</v>
      </c>
      <c r="I4501" s="1">
        <v>31.59</v>
      </c>
      <c r="J4501" s="1">
        <v>31.59</v>
      </c>
      <c r="K4501" t="s">
        <v>6</v>
      </c>
    </row>
    <row r="4502" spans="1:11">
      <c r="A4502" t="s">
        <v>4555</v>
      </c>
      <c r="B4502">
        <v>352529</v>
      </c>
      <c r="C4502" s="2" t="str">
        <f>"P4020C"</f>
        <v>P4020C</v>
      </c>
      <c r="D4502" t="s">
        <v>4618</v>
      </c>
      <c r="E4502" t="s">
        <v>4</v>
      </c>
      <c r="F4502">
        <v>15.84</v>
      </c>
      <c r="H4502" t="s">
        <v>5</v>
      </c>
      <c r="I4502" s="1">
        <v>29.39</v>
      </c>
      <c r="J4502" s="1">
        <v>29.39</v>
      </c>
      <c r="K4502" t="s">
        <v>6</v>
      </c>
    </row>
    <row r="4503" spans="1:11">
      <c r="A4503" t="s">
        <v>4555</v>
      </c>
      <c r="B4503">
        <v>352365</v>
      </c>
      <c r="C4503" s="2" t="str">
        <f>"P4030B"</f>
        <v>P4030B</v>
      </c>
      <c r="D4503" t="s">
        <v>4619</v>
      </c>
      <c r="E4503" t="s">
        <v>4</v>
      </c>
      <c r="F4503">
        <v>10.14</v>
      </c>
      <c r="H4503" t="s">
        <v>5</v>
      </c>
      <c r="I4503" s="1">
        <v>18.579999999999998</v>
      </c>
      <c r="J4503" s="1">
        <v>18.579999999999998</v>
      </c>
      <c r="K4503" t="s">
        <v>6</v>
      </c>
    </row>
    <row r="4504" spans="1:11">
      <c r="A4504" t="s">
        <v>4555</v>
      </c>
      <c r="B4504">
        <v>354001</v>
      </c>
      <c r="C4504" s="2" t="str">
        <f>"P4030C"</f>
        <v>P4030C</v>
      </c>
      <c r="D4504" t="s">
        <v>4620</v>
      </c>
      <c r="E4504" t="s">
        <v>4</v>
      </c>
      <c r="F4504">
        <v>9.2799999999999994</v>
      </c>
      <c r="H4504" t="s">
        <v>5</v>
      </c>
      <c r="I4504" s="1">
        <v>16.87</v>
      </c>
      <c r="J4504" s="1">
        <v>16.87</v>
      </c>
      <c r="K4504" t="s">
        <v>6</v>
      </c>
    </row>
    <row r="4505" spans="1:11">
      <c r="A4505" t="s">
        <v>4555</v>
      </c>
      <c r="B4505">
        <v>352995</v>
      </c>
      <c r="C4505" s="2" t="str">
        <f>"P4815B"</f>
        <v>P4815B</v>
      </c>
      <c r="D4505" t="s">
        <v>4621</v>
      </c>
      <c r="E4505" t="s">
        <v>4</v>
      </c>
      <c r="F4505">
        <v>17.829999999999998</v>
      </c>
      <c r="H4505" t="s">
        <v>5</v>
      </c>
      <c r="I4505" s="1">
        <v>33.1</v>
      </c>
      <c r="J4505" s="1">
        <v>33.1</v>
      </c>
      <c r="K4505" t="s">
        <v>6</v>
      </c>
    </row>
    <row r="4506" spans="1:11">
      <c r="A4506" t="s">
        <v>4555</v>
      </c>
      <c r="B4506">
        <v>351508</v>
      </c>
      <c r="C4506" s="2" t="str">
        <f>"P4820B"</f>
        <v>P4820B</v>
      </c>
      <c r="D4506" t="s">
        <v>4622</v>
      </c>
      <c r="E4506" t="s">
        <v>4</v>
      </c>
      <c r="F4506">
        <v>12.2</v>
      </c>
      <c r="H4506" t="s">
        <v>5</v>
      </c>
      <c r="I4506" s="1">
        <v>22.58</v>
      </c>
      <c r="J4506" s="1">
        <v>22.58</v>
      </c>
      <c r="K4506" t="s">
        <v>6</v>
      </c>
    </row>
    <row r="4507" spans="1:11">
      <c r="A4507" t="s">
        <v>4555</v>
      </c>
      <c r="B4507">
        <v>352364</v>
      </c>
      <c r="C4507" s="2" t="str">
        <f>"P4830B"</f>
        <v>P4830B</v>
      </c>
      <c r="D4507" t="s">
        <v>4623</v>
      </c>
      <c r="E4507" t="s">
        <v>4</v>
      </c>
      <c r="F4507">
        <v>14.31</v>
      </c>
      <c r="H4507" t="s">
        <v>5</v>
      </c>
      <c r="I4507" s="1">
        <v>26.49</v>
      </c>
      <c r="J4507" s="1">
        <v>26.49</v>
      </c>
      <c r="K4507" t="s">
        <v>6</v>
      </c>
    </row>
    <row r="4508" spans="1:11">
      <c r="A4508" t="s">
        <v>4555</v>
      </c>
      <c r="B4508">
        <v>371505</v>
      </c>
      <c r="C4508" s="2" t="str">
        <f>"P4830C"</f>
        <v>P4830C</v>
      </c>
      <c r="D4508" t="s">
        <v>4624</v>
      </c>
      <c r="E4508" t="s">
        <v>4</v>
      </c>
      <c r="F4508">
        <v>13.09</v>
      </c>
      <c r="H4508" t="s">
        <v>5</v>
      </c>
      <c r="I4508" s="1">
        <v>24.08</v>
      </c>
      <c r="J4508" s="1">
        <v>24.08</v>
      </c>
      <c r="K4508" t="s">
        <v>6</v>
      </c>
    </row>
    <row r="4509" spans="1:11">
      <c r="A4509" t="s">
        <v>4555</v>
      </c>
      <c r="B4509">
        <v>538761</v>
      </c>
      <c r="C4509" s="2" t="str">
        <f>"P4840C"</f>
        <v>P4840C</v>
      </c>
      <c r="D4509" t="s">
        <v>4625</v>
      </c>
      <c r="E4509" t="s">
        <v>4</v>
      </c>
      <c r="F4509">
        <v>16.64</v>
      </c>
      <c r="H4509" t="s">
        <v>5</v>
      </c>
      <c r="I4509" s="1">
        <v>31.21</v>
      </c>
      <c r="J4509" s="1">
        <v>31.21</v>
      </c>
      <c r="K4509" t="s">
        <v>6</v>
      </c>
    </row>
    <row r="4510" spans="1:11">
      <c r="A4510" t="s">
        <v>4555</v>
      </c>
      <c r="B4510">
        <v>351509</v>
      </c>
      <c r="C4510" s="2" t="str">
        <f>"P4920B"</f>
        <v>P4920B</v>
      </c>
      <c r="D4510" t="s">
        <v>4626</v>
      </c>
      <c r="E4510" t="s">
        <v>4</v>
      </c>
      <c r="F4510">
        <v>10.9</v>
      </c>
      <c r="H4510" t="s">
        <v>5</v>
      </c>
      <c r="I4510" s="1">
        <v>20.05</v>
      </c>
      <c r="J4510" s="1">
        <v>20.05</v>
      </c>
      <c r="K4510" t="s">
        <v>6</v>
      </c>
    </row>
    <row r="4511" spans="1:11">
      <c r="A4511" t="s">
        <v>4555</v>
      </c>
      <c r="B4511">
        <v>351510</v>
      </c>
      <c r="C4511" s="2" t="str">
        <f>"P6020B"</f>
        <v>P6020B</v>
      </c>
      <c r="D4511" t="s">
        <v>4627</v>
      </c>
      <c r="E4511" t="s">
        <v>4</v>
      </c>
      <c r="F4511">
        <v>11.14</v>
      </c>
      <c r="H4511" t="s">
        <v>5</v>
      </c>
      <c r="I4511" s="1">
        <v>20.53</v>
      </c>
      <c r="J4511" s="1">
        <v>20.53</v>
      </c>
      <c r="K4511" t="s">
        <v>6</v>
      </c>
    </row>
    <row r="4512" spans="1:11">
      <c r="A4512" t="s">
        <v>4555</v>
      </c>
      <c r="B4512">
        <v>353152</v>
      </c>
      <c r="C4512" s="2" t="str">
        <f>"P6020C"</f>
        <v>P6020C</v>
      </c>
      <c r="D4512" t="s">
        <v>4628</v>
      </c>
      <c r="E4512" t="s">
        <v>4</v>
      </c>
      <c r="F4512">
        <v>10.44</v>
      </c>
      <c r="H4512" t="s">
        <v>5</v>
      </c>
      <c r="I4512" s="1">
        <v>19.16</v>
      </c>
      <c r="J4512" s="1">
        <v>19.16</v>
      </c>
      <c r="K4512" t="s">
        <v>6</v>
      </c>
    </row>
    <row r="4513" spans="1:11">
      <c r="A4513" t="s">
        <v>4555</v>
      </c>
      <c r="B4513">
        <v>391526</v>
      </c>
      <c r="C4513" s="2" t="str">
        <f>"P6020DB"</f>
        <v>P6020DB</v>
      </c>
      <c r="D4513" t="s">
        <v>4629</v>
      </c>
      <c r="E4513" t="s">
        <v>4</v>
      </c>
      <c r="F4513">
        <v>22.08</v>
      </c>
      <c r="H4513" t="s">
        <v>5</v>
      </c>
      <c r="I4513" s="1">
        <v>40.98</v>
      </c>
      <c r="J4513" s="1">
        <v>40.98</v>
      </c>
      <c r="K4513" t="s">
        <v>6</v>
      </c>
    </row>
    <row r="4514" spans="1:11">
      <c r="A4514" t="s">
        <v>4555</v>
      </c>
      <c r="B4514">
        <v>352707</v>
      </c>
      <c r="C4514" s="2" t="str">
        <f>"P6030B"</f>
        <v>P6030B</v>
      </c>
      <c r="D4514" t="s">
        <v>4630</v>
      </c>
      <c r="E4514" t="s">
        <v>4</v>
      </c>
      <c r="F4514">
        <v>16.13</v>
      </c>
      <c r="H4514" t="s">
        <v>5</v>
      </c>
      <c r="I4514" s="1">
        <v>30</v>
      </c>
      <c r="J4514" s="1">
        <v>30</v>
      </c>
      <c r="K4514" t="s">
        <v>6</v>
      </c>
    </row>
    <row r="4515" spans="1:11">
      <c r="A4515" t="s">
        <v>4555</v>
      </c>
      <c r="B4515">
        <v>360015</v>
      </c>
      <c r="C4515" s="2" t="str">
        <f>"P6030C"</f>
        <v>P6030C</v>
      </c>
      <c r="D4515" t="s">
        <v>4631</v>
      </c>
      <c r="E4515" t="s">
        <v>4</v>
      </c>
      <c r="F4515">
        <v>14.74</v>
      </c>
      <c r="H4515" t="s">
        <v>5</v>
      </c>
      <c r="I4515" s="1">
        <v>27.27</v>
      </c>
      <c r="J4515" s="1">
        <v>27.27</v>
      </c>
      <c r="K4515" t="s">
        <v>6</v>
      </c>
    </row>
    <row r="4516" spans="1:11">
      <c r="A4516" t="s">
        <v>4555</v>
      </c>
      <c r="B4516">
        <v>352528</v>
      </c>
      <c r="C4516" s="2" t="str">
        <f>"P6520C"</f>
        <v>P6520C</v>
      </c>
      <c r="D4516" t="s">
        <v>4632</v>
      </c>
      <c r="E4516" t="s">
        <v>4</v>
      </c>
      <c r="F4516">
        <v>10.99</v>
      </c>
      <c r="H4516" t="s">
        <v>5</v>
      </c>
      <c r="I4516" s="1">
        <v>20.22</v>
      </c>
      <c r="J4516" s="1">
        <v>20.22</v>
      </c>
      <c r="K4516" t="s">
        <v>6</v>
      </c>
    </row>
    <row r="4517" spans="1:11">
      <c r="A4517" t="s">
        <v>4555</v>
      </c>
      <c r="B4517">
        <v>358914</v>
      </c>
      <c r="C4517" s="2" t="str">
        <f>"P6520DC"</f>
        <v>P6520DC</v>
      </c>
      <c r="D4517" t="s">
        <v>4633</v>
      </c>
      <c r="E4517" t="s">
        <v>4</v>
      </c>
      <c r="F4517">
        <v>21.77</v>
      </c>
      <c r="H4517" t="s">
        <v>5</v>
      </c>
      <c r="I4517" s="1">
        <v>40.35</v>
      </c>
      <c r="J4517" s="1">
        <v>40.35</v>
      </c>
      <c r="K4517" t="s">
        <v>6</v>
      </c>
    </row>
    <row r="4518" spans="1:11">
      <c r="A4518" t="s">
        <v>4555</v>
      </c>
      <c r="B4518">
        <v>351511</v>
      </c>
      <c r="C4518" s="2" t="str">
        <f>"P6530B"</f>
        <v>P6530B</v>
      </c>
      <c r="D4518" t="s">
        <v>4634</v>
      </c>
      <c r="E4518" t="s">
        <v>4</v>
      </c>
      <c r="F4518">
        <v>16.98</v>
      </c>
      <c r="H4518" t="s">
        <v>5</v>
      </c>
      <c r="I4518" s="1">
        <v>31.66</v>
      </c>
      <c r="J4518" s="1">
        <v>31.66</v>
      </c>
      <c r="K4518" t="s">
        <v>6</v>
      </c>
    </row>
    <row r="4519" spans="1:11">
      <c r="A4519" t="s">
        <v>4555</v>
      </c>
      <c r="B4519">
        <v>352504</v>
      </c>
      <c r="C4519" s="2" t="str">
        <f>"PB113C"</f>
        <v>PB113C</v>
      </c>
      <c r="D4519" t="s">
        <v>4635</v>
      </c>
      <c r="E4519" t="s">
        <v>4</v>
      </c>
      <c r="F4519">
        <v>11.94</v>
      </c>
      <c r="H4519" t="s">
        <v>5</v>
      </c>
      <c r="I4519" s="1">
        <v>28.21</v>
      </c>
      <c r="J4519" s="1">
        <v>28.21</v>
      </c>
      <c r="K4519" t="s">
        <v>6</v>
      </c>
    </row>
    <row r="4520" spans="1:11">
      <c r="A4520" t="s">
        <v>4555</v>
      </c>
      <c r="B4520">
        <v>351547</v>
      </c>
      <c r="C4520" s="2" t="str">
        <f>"PB141C"</f>
        <v>PB141C</v>
      </c>
      <c r="D4520" t="s">
        <v>4636</v>
      </c>
      <c r="E4520" t="s">
        <v>4</v>
      </c>
      <c r="F4520">
        <v>12.1</v>
      </c>
      <c r="H4520" t="s">
        <v>5</v>
      </c>
      <c r="I4520" s="1">
        <v>28.18</v>
      </c>
      <c r="J4520" s="1">
        <v>28.18</v>
      </c>
      <c r="K4520" t="s">
        <v>6</v>
      </c>
    </row>
    <row r="4521" spans="1:11">
      <c r="A4521" t="s">
        <v>4555</v>
      </c>
      <c r="B4521">
        <v>351548</v>
      </c>
      <c r="C4521" s="2" t="str">
        <f>"PB212C"</f>
        <v>PB212C</v>
      </c>
      <c r="D4521" t="s">
        <v>4637</v>
      </c>
      <c r="E4521" t="s">
        <v>4</v>
      </c>
      <c r="F4521">
        <v>15.72</v>
      </c>
      <c r="H4521" t="s">
        <v>5</v>
      </c>
      <c r="I4521" s="1">
        <v>36.86</v>
      </c>
      <c r="J4521" s="1">
        <v>36.86</v>
      </c>
      <c r="K4521" t="s">
        <v>6</v>
      </c>
    </row>
    <row r="4522" spans="1:11">
      <c r="A4522" t="s">
        <v>4555</v>
      </c>
      <c r="B4522">
        <v>351549</v>
      </c>
      <c r="C4522" s="2" t="str">
        <f>"PB216C"</f>
        <v>PB216C</v>
      </c>
      <c r="D4522" t="s">
        <v>4638</v>
      </c>
      <c r="E4522" t="s">
        <v>4</v>
      </c>
      <c r="F4522">
        <v>18.600000000000001</v>
      </c>
      <c r="H4522" t="s">
        <v>5</v>
      </c>
      <c r="I4522" s="1">
        <v>44.14</v>
      </c>
      <c r="J4522" s="1">
        <v>44.14</v>
      </c>
      <c r="K4522" t="s">
        <v>6</v>
      </c>
    </row>
    <row r="4523" spans="1:11">
      <c r="A4523" t="s">
        <v>4555</v>
      </c>
      <c r="B4523">
        <v>351545</v>
      </c>
      <c r="C4523" s="2" t="str">
        <f>"PB32C"</f>
        <v>PB32C</v>
      </c>
      <c r="D4523" t="s">
        <v>4639</v>
      </c>
      <c r="E4523" t="s">
        <v>4</v>
      </c>
      <c r="F4523">
        <v>3.47</v>
      </c>
      <c r="H4523" t="s">
        <v>5</v>
      </c>
      <c r="I4523" s="1">
        <v>7.15</v>
      </c>
      <c r="J4523" s="1">
        <v>7.15</v>
      </c>
      <c r="K4523" t="s">
        <v>6</v>
      </c>
    </row>
    <row r="4524" spans="1:11">
      <c r="A4524" t="s">
        <v>4555</v>
      </c>
      <c r="B4524">
        <v>352530</v>
      </c>
      <c r="C4524" s="2" t="str">
        <f>"PB432C"</f>
        <v>PB432C</v>
      </c>
      <c r="D4524" t="s">
        <v>4640</v>
      </c>
      <c r="E4524" t="s">
        <v>4</v>
      </c>
      <c r="F4524">
        <v>18.72</v>
      </c>
      <c r="H4524" t="s">
        <v>5</v>
      </c>
      <c r="I4524" s="1">
        <v>44.17</v>
      </c>
      <c r="J4524" s="1">
        <v>44.17</v>
      </c>
      <c r="K4524" t="s">
        <v>6</v>
      </c>
    </row>
    <row r="4525" spans="1:11">
      <c r="A4525" t="s">
        <v>4555</v>
      </c>
      <c r="B4525">
        <v>353089</v>
      </c>
      <c r="C4525" s="2" t="str">
        <f>"PB48C"</f>
        <v>PB48C</v>
      </c>
      <c r="D4525" t="s">
        <v>4641</v>
      </c>
      <c r="E4525" t="s">
        <v>4</v>
      </c>
      <c r="F4525">
        <v>4.83</v>
      </c>
      <c r="H4525" t="s">
        <v>5</v>
      </c>
      <c r="I4525" s="1">
        <v>10.56</v>
      </c>
      <c r="J4525" s="1">
        <v>10.56</v>
      </c>
      <c r="K4525" t="s">
        <v>6</v>
      </c>
    </row>
    <row r="4526" spans="1:11">
      <c r="A4526" t="s">
        <v>4555</v>
      </c>
      <c r="B4526">
        <v>351546</v>
      </c>
      <c r="C4526" s="2" t="str">
        <f>"PB72C"</f>
        <v>PB72C</v>
      </c>
      <c r="D4526" t="s">
        <v>4642</v>
      </c>
      <c r="E4526" t="s">
        <v>4</v>
      </c>
      <c r="F4526">
        <v>7.02</v>
      </c>
      <c r="H4526" t="s">
        <v>5</v>
      </c>
      <c r="I4526" s="1">
        <v>15.78</v>
      </c>
      <c r="J4526" s="1">
        <v>15.78</v>
      </c>
      <c r="K4526" t="s">
        <v>6</v>
      </c>
    </row>
    <row r="4527" spans="1:11">
      <c r="A4527" t="s">
        <v>4555</v>
      </c>
      <c r="B4527">
        <v>352789</v>
      </c>
      <c r="C4527" s="2" t="str">
        <f>"PB89C"</f>
        <v>PB89C</v>
      </c>
      <c r="D4527" t="s">
        <v>4643</v>
      </c>
      <c r="E4527" t="s">
        <v>4</v>
      </c>
      <c r="F4527">
        <v>9.61</v>
      </c>
      <c r="H4527" t="s">
        <v>5</v>
      </c>
      <c r="I4527" s="1">
        <v>22.32</v>
      </c>
      <c r="J4527" s="1">
        <v>22.32</v>
      </c>
      <c r="K4527" t="s">
        <v>6</v>
      </c>
    </row>
    <row r="4528" spans="1:11">
      <c r="A4528" t="s">
        <v>4555</v>
      </c>
      <c r="B4528">
        <v>353090</v>
      </c>
      <c r="C4528" s="2" t="str">
        <f>"PB90C"</f>
        <v>PB90C</v>
      </c>
      <c r="D4528" t="s">
        <v>4644</v>
      </c>
      <c r="E4528" t="s">
        <v>4</v>
      </c>
      <c r="F4528">
        <v>8.5500000000000007</v>
      </c>
      <c r="H4528" t="s">
        <v>5</v>
      </c>
      <c r="I4528" s="1">
        <v>19.66</v>
      </c>
      <c r="J4528" s="1">
        <v>19.66</v>
      </c>
      <c r="K4528" t="s">
        <v>6</v>
      </c>
    </row>
    <row r="4529" spans="1:11">
      <c r="A4529" t="s">
        <v>4555</v>
      </c>
      <c r="B4529">
        <v>352583</v>
      </c>
      <c r="C4529" s="2" t="str">
        <f>"SS11C"</f>
        <v>SS11C</v>
      </c>
      <c r="D4529" t="s">
        <v>4645</v>
      </c>
      <c r="E4529" t="s">
        <v>4</v>
      </c>
      <c r="F4529">
        <v>11</v>
      </c>
      <c r="H4529" t="s">
        <v>5</v>
      </c>
      <c r="I4529" s="1">
        <v>54.87</v>
      </c>
      <c r="J4529" s="1">
        <v>54.87</v>
      </c>
      <c r="K4529" t="s">
        <v>6</v>
      </c>
    </row>
    <row r="4530" spans="1:11">
      <c r="A4530" t="s">
        <v>4555</v>
      </c>
      <c r="B4530">
        <v>352543</v>
      </c>
      <c r="C4530" s="2" t="str">
        <f>"SW12C"</f>
        <v>SW12C</v>
      </c>
      <c r="D4530" t="s">
        <v>4646</v>
      </c>
      <c r="E4530" t="s">
        <v>4</v>
      </c>
      <c r="F4530">
        <v>6.4</v>
      </c>
      <c r="H4530" t="s">
        <v>5</v>
      </c>
      <c r="I4530" s="1">
        <v>25.44</v>
      </c>
      <c r="J4530" s="1">
        <v>25.44</v>
      </c>
      <c r="K4530" t="s">
        <v>6</v>
      </c>
    </row>
    <row r="4531" spans="1:11">
      <c r="A4531" t="s">
        <v>4555</v>
      </c>
      <c r="B4531">
        <v>353522</v>
      </c>
      <c r="C4531" s="2" t="str">
        <f>"TM33T"</f>
        <v>TM33T</v>
      </c>
      <c r="D4531" t="s">
        <v>4647</v>
      </c>
      <c r="E4531" t="s">
        <v>4</v>
      </c>
      <c r="F4531">
        <v>12.34</v>
      </c>
      <c r="H4531" t="s">
        <v>5</v>
      </c>
      <c r="I4531" s="1">
        <v>22.65</v>
      </c>
      <c r="J4531" s="1">
        <v>22.65</v>
      </c>
      <c r="K4531" t="s">
        <v>6</v>
      </c>
    </row>
    <row r="4532" spans="1:11">
      <c r="A4532" t="s">
        <v>4555</v>
      </c>
      <c r="B4532">
        <v>351541</v>
      </c>
      <c r="C4532" s="2" t="str">
        <f>"TM40T"</f>
        <v>TM40T</v>
      </c>
      <c r="D4532" t="s">
        <v>4648</v>
      </c>
      <c r="E4532" t="s">
        <v>4</v>
      </c>
      <c r="F4532">
        <v>15.84</v>
      </c>
      <c r="H4532" t="s">
        <v>5</v>
      </c>
      <c r="I4532" s="1">
        <v>29.45</v>
      </c>
      <c r="J4532" s="1">
        <v>29.45</v>
      </c>
      <c r="K4532" t="s">
        <v>6</v>
      </c>
    </row>
    <row r="4533" spans="1:11">
      <c r="A4533" t="s">
        <v>4555</v>
      </c>
      <c r="B4533">
        <v>351542</v>
      </c>
      <c r="C4533" s="2" t="str">
        <f>"TM48T"</f>
        <v>TM48T</v>
      </c>
      <c r="D4533" t="s">
        <v>4649</v>
      </c>
      <c r="E4533" t="s">
        <v>4</v>
      </c>
      <c r="F4533">
        <v>23.24</v>
      </c>
      <c r="H4533" t="s">
        <v>5</v>
      </c>
      <c r="I4533" s="1">
        <v>43.28</v>
      </c>
      <c r="J4533" s="1">
        <v>43.28</v>
      </c>
      <c r="K4533" t="s">
        <v>6</v>
      </c>
    </row>
    <row r="4534" spans="1:11">
      <c r="A4534" t="s">
        <v>4555</v>
      </c>
      <c r="B4534">
        <v>351543</v>
      </c>
      <c r="C4534" s="2" t="str">
        <f>"TM49T"</f>
        <v>TM49T</v>
      </c>
      <c r="D4534" t="s">
        <v>4650</v>
      </c>
      <c r="E4534" t="s">
        <v>4</v>
      </c>
      <c r="F4534">
        <v>25.64</v>
      </c>
      <c r="H4534" t="s">
        <v>5</v>
      </c>
      <c r="I4534" s="1">
        <v>47.94</v>
      </c>
      <c r="J4534" s="1">
        <v>47.94</v>
      </c>
      <c r="K4534" t="s">
        <v>6</v>
      </c>
    </row>
    <row r="4535" spans="1:11">
      <c r="A4535" t="s">
        <v>4555</v>
      </c>
      <c r="B4535">
        <v>356853</v>
      </c>
      <c r="C4535" s="2" t="str">
        <f>"TM60T"</f>
        <v>TM60T</v>
      </c>
      <c r="D4535" t="s">
        <v>4651</v>
      </c>
      <c r="E4535" t="s">
        <v>4</v>
      </c>
      <c r="F4535">
        <v>13.35</v>
      </c>
      <c r="H4535" t="s">
        <v>5</v>
      </c>
      <c r="I4535" s="1">
        <v>24.61</v>
      </c>
      <c r="J4535" s="1">
        <v>24.61</v>
      </c>
      <c r="K4535" t="s">
        <v>6</v>
      </c>
    </row>
    <row r="4536" spans="1:11">
      <c r="A4536" t="s">
        <v>4555</v>
      </c>
      <c r="B4536">
        <v>351544</v>
      </c>
      <c r="C4536" s="2" t="str">
        <f>"TM65T"</f>
        <v>TM65T</v>
      </c>
      <c r="D4536" t="s">
        <v>4652</v>
      </c>
      <c r="E4536" t="s">
        <v>4</v>
      </c>
      <c r="F4536">
        <v>14.04</v>
      </c>
      <c r="H4536" t="s">
        <v>5</v>
      </c>
      <c r="I4536" s="1">
        <v>25.95</v>
      </c>
      <c r="J4536" s="1">
        <v>25.95</v>
      </c>
      <c r="K4536" t="s">
        <v>6</v>
      </c>
    </row>
    <row r="4537" spans="1:11">
      <c r="A4537" t="s">
        <v>4653</v>
      </c>
      <c r="B4537">
        <v>514283</v>
      </c>
      <c r="C4537" s="2" t="str">
        <f>"11340"</f>
        <v>11340</v>
      </c>
      <c r="D4537" t="s">
        <v>4654</v>
      </c>
      <c r="E4537" t="s">
        <v>4</v>
      </c>
      <c r="F4537">
        <v>24.25</v>
      </c>
      <c r="H4537" t="s">
        <v>5</v>
      </c>
      <c r="I4537" s="1">
        <v>75.67</v>
      </c>
      <c r="J4537" s="1">
        <v>75.67</v>
      </c>
      <c r="K4537" t="s">
        <v>6</v>
      </c>
    </row>
    <row r="4538" spans="1:11">
      <c r="A4538" t="s">
        <v>4653</v>
      </c>
      <c r="B4538">
        <v>514284</v>
      </c>
      <c r="C4538" s="2" t="str">
        <f>"11440"</f>
        <v>11440</v>
      </c>
      <c r="D4538" t="s">
        <v>4655</v>
      </c>
      <c r="E4538" t="s">
        <v>4</v>
      </c>
      <c r="F4538">
        <v>11.8</v>
      </c>
      <c r="H4538" t="s">
        <v>5</v>
      </c>
      <c r="I4538" s="1">
        <v>69.260000000000005</v>
      </c>
      <c r="J4538" s="1">
        <v>69.260000000000005</v>
      </c>
      <c r="K4538" t="s">
        <v>6</v>
      </c>
    </row>
    <row r="4539" spans="1:11">
      <c r="A4539" t="s">
        <v>4653</v>
      </c>
      <c r="B4539">
        <v>514285</v>
      </c>
      <c r="C4539" s="2" t="str">
        <f>"52148"</f>
        <v>52148</v>
      </c>
      <c r="D4539" t="s">
        <v>4656</v>
      </c>
      <c r="E4539" t="s">
        <v>4</v>
      </c>
      <c r="F4539">
        <v>8.5500000000000007</v>
      </c>
      <c r="H4539" t="s">
        <v>5</v>
      </c>
      <c r="I4539" s="1">
        <v>58.03</v>
      </c>
      <c r="J4539" s="1">
        <v>58.03</v>
      </c>
      <c r="K4539" t="s">
        <v>6</v>
      </c>
    </row>
    <row r="4540" spans="1:11">
      <c r="A4540" t="s">
        <v>4653</v>
      </c>
      <c r="B4540">
        <v>514287</v>
      </c>
      <c r="C4540" s="2" t="str">
        <f>"52748"</f>
        <v>52748</v>
      </c>
      <c r="D4540" t="s">
        <v>4657</v>
      </c>
      <c r="E4540" t="s">
        <v>4</v>
      </c>
      <c r="F4540">
        <v>7.79</v>
      </c>
      <c r="H4540" t="s">
        <v>5</v>
      </c>
      <c r="I4540" s="1">
        <v>114.19</v>
      </c>
      <c r="J4540" s="1">
        <v>114.19</v>
      </c>
      <c r="K4540" t="s">
        <v>6</v>
      </c>
    </row>
    <row r="4541" spans="1:11">
      <c r="A4541" t="s">
        <v>4653</v>
      </c>
      <c r="B4541">
        <v>514288</v>
      </c>
      <c r="C4541" s="2" t="str">
        <f>"53648"</f>
        <v>53648</v>
      </c>
      <c r="D4541" t="s">
        <v>4658</v>
      </c>
      <c r="E4541" t="s">
        <v>4</v>
      </c>
      <c r="F4541">
        <v>4.05</v>
      </c>
      <c r="H4541" t="s">
        <v>5</v>
      </c>
      <c r="I4541" s="1">
        <v>63.71</v>
      </c>
      <c r="J4541" s="1">
        <v>63.71</v>
      </c>
      <c r="K4541" t="s">
        <v>6</v>
      </c>
    </row>
    <row r="4542" spans="1:11">
      <c r="A4542" t="s">
        <v>4659</v>
      </c>
      <c r="B4542">
        <v>366552</v>
      </c>
      <c r="C4542" s="2" t="str">
        <f>"00001"</f>
        <v>00001</v>
      </c>
      <c r="D4542" t="s">
        <v>4660</v>
      </c>
      <c r="E4542" t="s">
        <v>4</v>
      </c>
      <c r="F4542">
        <v>40.35</v>
      </c>
      <c r="H4542" t="s">
        <v>5</v>
      </c>
      <c r="I4542" s="1">
        <v>44.15</v>
      </c>
      <c r="J4542" s="1">
        <v>44.15</v>
      </c>
      <c r="K4542" t="s">
        <v>6</v>
      </c>
    </row>
    <row r="4543" spans="1:11">
      <c r="A4543" t="s">
        <v>4659</v>
      </c>
      <c r="B4543">
        <v>366553</v>
      </c>
      <c r="C4543" s="2" t="str">
        <f>"00004"</f>
        <v>00004</v>
      </c>
      <c r="D4543" t="s">
        <v>4661</v>
      </c>
      <c r="E4543" t="s">
        <v>4</v>
      </c>
      <c r="F4543">
        <v>15.15</v>
      </c>
      <c r="H4543" t="s">
        <v>5</v>
      </c>
      <c r="I4543" s="1">
        <v>50.7</v>
      </c>
      <c r="J4543" s="1">
        <v>50.7</v>
      </c>
      <c r="K4543" t="s">
        <v>6</v>
      </c>
    </row>
    <row r="4544" spans="1:11">
      <c r="A4544" t="s">
        <v>4659</v>
      </c>
      <c r="B4544">
        <v>366548</v>
      </c>
      <c r="C4544" s="2" t="str">
        <f>"00005"</f>
        <v>00005</v>
      </c>
      <c r="D4544" t="s">
        <v>4662</v>
      </c>
      <c r="E4544" t="s">
        <v>4</v>
      </c>
      <c r="F4544">
        <v>7</v>
      </c>
      <c r="H4544" t="s">
        <v>5</v>
      </c>
      <c r="I4544" s="1">
        <v>28.08</v>
      </c>
      <c r="J4544" s="1">
        <v>28.08</v>
      </c>
      <c r="K4544" t="s">
        <v>6</v>
      </c>
    </row>
    <row r="4545" spans="1:11">
      <c r="A4545" t="s">
        <v>4659</v>
      </c>
      <c r="B4545">
        <v>366555</v>
      </c>
      <c r="C4545" s="2" t="str">
        <f>"00007"</f>
        <v>00007</v>
      </c>
      <c r="D4545" t="s">
        <v>4663</v>
      </c>
      <c r="E4545" t="s">
        <v>4</v>
      </c>
      <c r="F4545">
        <v>9.15</v>
      </c>
      <c r="H4545" t="s">
        <v>5</v>
      </c>
      <c r="I4545" s="1">
        <v>28.24</v>
      </c>
      <c r="J4545" s="1">
        <v>28.24</v>
      </c>
      <c r="K4545" t="s">
        <v>6</v>
      </c>
    </row>
    <row r="4546" spans="1:11">
      <c r="A4546" t="s">
        <v>4659</v>
      </c>
      <c r="B4546">
        <v>432761</v>
      </c>
      <c r="C4546" s="2" t="str">
        <f>"00009"</f>
        <v>00009</v>
      </c>
      <c r="D4546" t="s">
        <v>4664</v>
      </c>
      <c r="E4546" t="s">
        <v>4</v>
      </c>
      <c r="F4546">
        <v>27.6</v>
      </c>
      <c r="H4546" t="s">
        <v>5</v>
      </c>
      <c r="I4546" s="1">
        <v>70.56</v>
      </c>
      <c r="J4546" s="1">
        <v>70.56</v>
      </c>
      <c r="K4546" t="s">
        <v>6</v>
      </c>
    </row>
    <row r="4547" spans="1:11">
      <c r="A4547" t="s">
        <v>4659</v>
      </c>
      <c r="B4547">
        <v>366550</v>
      </c>
      <c r="C4547" s="2" t="str">
        <f>"00010"</f>
        <v>00010</v>
      </c>
      <c r="D4547" t="s">
        <v>4665</v>
      </c>
      <c r="E4547" t="s">
        <v>4</v>
      </c>
      <c r="F4547">
        <v>11.09</v>
      </c>
      <c r="H4547" t="s">
        <v>5</v>
      </c>
      <c r="I4547" s="1">
        <v>36.909999999999997</v>
      </c>
      <c r="J4547" s="1">
        <v>36.909999999999997</v>
      </c>
      <c r="K4547" t="s">
        <v>6</v>
      </c>
    </row>
    <row r="4548" spans="1:11">
      <c r="A4548" t="s">
        <v>4659</v>
      </c>
      <c r="B4548">
        <v>438680</v>
      </c>
      <c r="C4548" s="2" t="str">
        <f>"00033"</f>
        <v>00033</v>
      </c>
      <c r="D4548" t="s">
        <v>4666</v>
      </c>
      <c r="E4548" t="s">
        <v>4</v>
      </c>
      <c r="F4548">
        <v>15.15</v>
      </c>
      <c r="H4548" t="s">
        <v>5</v>
      </c>
      <c r="I4548" s="1">
        <v>36.44</v>
      </c>
      <c r="J4548" s="1">
        <v>36.44</v>
      </c>
      <c r="K4548" t="s">
        <v>6</v>
      </c>
    </row>
    <row r="4549" spans="1:11">
      <c r="A4549" t="s">
        <v>4659</v>
      </c>
      <c r="B4549">
        <v>471315</v>
      </c>
      <c r="C4549" s="2" t="str">
        <f>"00035"</f>
        <v>00035</v>
      </c>
      <c r="D4549" t="s">
        <v>4667</v>
      </c>
      <c r="E4549" t="s">
        <v>4</v>
      </c>
      <c r="F4549">
        <v>31.3</v>
      </c>
      <c r="H4549" t="s">
        <v>5</v>
      </c>
      <c r="I4549" s="1">
        <v>48.95</v>
      </c>
      <c r="J4549" s="1">
        <v>48.95</v>
      </c>
      <c r="K4549" t="s">
        <v>6</v>
      </c>
    </row>
    <row r="4550" spans="1:11">
      <c r="A4550" t="s">
        <v>4659</v>
      </c>
      <c r="B4550">
        <v>445799</v>
      </c>
      <c r="C4550" s="2" t="str">
        <f>"00041"</f>
        <v>00041</v>
      </c>
      <c r="D4550" t="s">
        <v>4668</v>
      </c>
      <c r="E4550" t="s">
        <v>4</v>
      </c>
      <c r="F4550">
        <v>9</v>
      </c>
      <c r="H4550" t="s">
        <v>5</v>
      </c>
      <c r="I4550" s="1">
        <v>49.52</v>
      </c>
      <c r="J4550" s="1">
        <v>49.52</v>
      </c>
      <c r="K4550" t="s">
        <v>6</v>
      </c>
    </row>
    <row r="4551" spans="1:11">
      <c r="A4551" t="s">
        <v>4659</v>
      </c>
      <c r="B4551">
        <v>471318</v>
      </c>
      <c r="C4551" s="2" t="str">
        <f>"00057"</f>
        <v>00057</v>
      </c>
      <c r="D4551" t="s">
        <v>4669</v>
      </c>
      <c r="E4551" t="s">
        <v>4</v>
      </c>
      <c r="F4551">
        <v>14.6</v>
      </c>
      <c r="H4551" t="s">
        <v>5</v>
      </c>
      <c r="I4551" s="1">
        <v>50.95</v>
      </c>
      <c r="J4551" s="1">
        <v>50.95</v>
      </c>
      <c r="K4551" t="s">
        <v>6</v>
      </c>
    </row>
    <row r="4552" spans="1:11">
      <c r="A4552" t="s">
        <v>4659</v>
      </c>
      <c r="B4552">
        <v>428091</v>
      </c>
      <c r="C4552" s="2" t="str">
        <f>"00632"</f>
        <v>00632</v>
      </c>
      <c r="D4552" t="s">
        <v>4670</v>
      </c>
      <c r="E4552" t="s">
        <v>4</v>
      </c>
      <c r="F4552">
        <v>10.72</v>
      </c>
      <c r="H4552" t="s">
        <v>5</v>
      </c>
      <c r="I4552" s="1">
        <v>34.71</v>
      </c>
      <c r="J4552" s="1">
        <v>34.71</v>
      </c>
      <c r="K4552" t="s">
        <v>6</v>
      </c>
    </row>
    <row r="4553" spans="1:11">
      <c r="A4553" t="s">
        <v>4659</v>
      </c>
      <c r="B4553">
        <v>326777</v>
      </c>
      <c r="C4553" s="2" t="str">
        <f>"00801"</f>
        <v>00801</v>
      </c>
      <c r="D4553" t="s">
        <v>4671</v>
      </c>
      <c r="E4553" t="s">
        <v>4</v>
      </c>
      <c r="F4553">
        <v>35</v>
      </c>
      <c r="H4553" t="s">
        <v>5</v>
      </c>
      <c r="I4553" s="1">
        <v>64.27</v>
      </c>
      <c r="J4553" s="1">
        <v>64.27</v>
      </c>
      <c r="K4553" t="s">
        <v>6</v>
      </c>
    </row>
    <row r="4554" spans="1:11">
      <c r="A4554" t="s">
        <v>4659</v>
      </c>
      <c r="B4554">
        <v>439655</v>
      </c>
      <c r="C4554" s="2" t="str">
        <f>"01331"</f>
        <v>01331</v>
      </c>
      <c r="D4554" t="s">
        <v>4672</v>
      </c>
      <c r="E4554" t="s">
        <v>4</v>
      </c>
      <c r="F4554">
        <v>12.5</v>
      </c>
      <c r="H4554" t="s">
        <v>5</v>
      </c>
      <c r="I4554" s="1">
        <v>48.36</v>
      </c>
      <c r="J4554" s="1">
        <v>48.36</v>
      </c>
      <c r="K4554" t="s">
        <v>6</v>
      </c>
    </row>
    <row r="4555" spans="1:11">
      <c r="A4555" t="s">
        <v>4659</v>
      </c>
      <c r="B4555">
        <v>326407</v>
      </c>
      <c r="C4555" s="2" t="str">
        <f>"02001"</f>
        <v>02001</v>
      </c>
      <c r="D4555" t="s">
        <v>4673</v>
      </c>
      <c r="E4555" t="s">
        <v>4</v>
      </c>
      <c r="F4555">
        <v>29.5</v>
      </c>
      <c r="H4555" t="s">
        <v>5</v>
      </c>
      <c r="I4555" s="1">
        <v>65.83</v>
      </c>
      <c r="J4555" s="1">
        <v>65.83</v>
      </c>
      <c r="K4555" t="s">
        <v>6</v>
      </c>
    </row>
    <row r="4556" spans="1:11">
      <c r="A4556" t="s">
        <v>4659</v>
      </c>
      <c r="B4556">
        <v>339479</v>
      </c>
      <c r="C4556" s="2" t="str">
        <f>"02010"</f>
        <v>02010</v>
      </c>
      <c r="D4556" t="s">
        <v>4674</v>
      </c>
      <c r="E4556" t="s">
        <v>4</v>
      </c>
      <c r="F4556">
        <v>6.8</v>
      </c>
      <c r="H4556" t="s">
        <v>5</v>
      </c>
      <c r="I4556" s="1">
        <v>33.35</v>
      </c>
      <c r="J4556" s="1">
        <v>33.35</v>
      </c>
      <c r="K4556" t="s">
        <v>6</v>
      </c>
    </row>
    <row r="4557" spans="1:11">
      <c r="A4557" t="s">
        <v>4659</v>
      </c>
      <c r="B4557">
        <v>340215</v>
      </c>
      <c r="C4557" s="2" t="str">
        <f>"02011"</f>
        <v>02011</v>
      </c>
      <c r="D4557" t="s">
        <v>4675</v>
      </c>
      <c r="E4557" t="s">
        <v>4</v>
      </c>
      <c r="F4557">
        <v>11.5</v>
      </c>
      <c r="H4557" t="s">
        <v>5</v>
      </c>
      <c r="I4557" s="1">
        <v>30.42</v>
      </c>
      <c r="J4557" s="1">
        <v>30.42</v>
      </c>
      <c r="K4557" t="s">
        <v>6</v>
      </c>
    </row>
    <row r="4558" spans="1:11">
      <c r="A4558" t="s">
        <v>4659</v>
      </c>
      <c r="B4558">
        <v>326439</v>
      </c>
      <c r="C4558" s="2" t="str">
        <f>"02100"</f>
        <v>02100</v>
      </c>
      <c r="D4558" t="s">
        <v>4676</v>
      </c>
      <c r="E4558" t="s">
        <v>4</v>
      </c>
      <c r="F4558">
        <v>26.5</v>
      </c>
      <c r="H4558" t="s">
        <v>5</v>
      </c>
      <c r="I4558" s="1">
        <v>55.98</v>
      </c>
      <c r="J4558" s="1">
        <v>55.98</v>
      </c>
      <c r="K4558" t="s">
        <v>6</v>
      </c>
    </row>
    <row r="4559" spans="1:11">
      <c r="A4559" t="s">
        <v>4659</v>
      </c>
      <c r="B4559">
        <v>325789</v>
      </c>
      <c r="C4559" s="2" t="str">
        <f>"02101"</f>
        <v>02101</v>
      </c>
      <c r="D4559" t="s">
        <v>4677</v>
      </c>
      <c r="E4559" t="s">
        <v>4</v>
      </c>
      <c r="F4559">
        <v>52.4</v>
      </c>
      <c r="H4559" t="s">
        <v>5</v>
      </c>
      <c r="I4559" s="1">
        <v>103.78</v>
      </c>
      <c r="J4559" s="1">
        <v>103.78</v>
      </c>
      <c r="K4559" t="s">
        <v>6</v>
      </c>
    </row>
    <row r="4560" spans="1:11">
      <c r="A4560" t="s">
        <v>4659</v>
      </c>
      <c r="B4560">
        <v>324993</v>
      </c>
      <c r="C4560" s="2" t="str">
        <f>"02120"</f>
        <v>02120</v>
      </c>
      <c r="D4560" t="s">
        <v>4678</v>
      </c>
      <c r="E4560" t="s">
        <v>4</v>
      </c>
      <c r="F4560">
        <v>26.5</v>
      </c>
      <c r="H4560" t="s">
        <v>5</v>
      </c>
      <c r="I4560" s="1">
        <v>55.98</v>
      </c>
      <c r="J4560" s="1">
        <v>55.98</v>
      </c>
      <c r="K4560" t="s">
        <v>6</v>
      </c>
    </row>
    <row r="4561" spans="1:11">
      <c r="A4561" t="s">
        <v>4659</v>
      </c>
      <c r="B4561">
        <v>342832</v>
      </c>
      <c r="C4561" s="2" t="str">
        <f>"02287"</f>
        <v>02287</v>
      </c>
      <c r="D4561" t="s">
        <v>4679</v>
      </c>
      <c r="E4561" t="s">
        <v>4</v>
      </c>
      <c r="F4561">
        <v>20.2</v>
      </c>
      <c r="H4561" t="s">
        <v>5</v>
      </c>
      <c r="I4561" s="1">
        <v>47.01</v>
      </c>
      <c r="J4561" s="1">
        <v>47.01</v>
      </c>
      <c r="K4561" t="s">
        <v>6</v>
      </c>
    </row>
    <row r="4562" spans="1:11">
      <c r="A4562" t="s">
        <v>4659</v>
      </c>
      <c r="B4562">
        <v>342833</v>
      </c>
      <c r="C4562" s="2" t="str">
        <f>"02291"</f>
        <v>02291</v>
      </c>
      <c r="D4562" t="s">
        <v>4680</v>
      </c>
      <c r="E4562" t="s">
        <v>4</v>
      </c>
      <c r="F4562">
        <v>29.5</v>
      </c>
      <c r="H4562" t="s">
        <v>5</v>
      </c>
      <c r="I4562" s="1">
        <v>50.19</v>
      </c>
      <c r="J4562" s="1">
        <v>50.19</v>
      </c>
      <c r="K4562" t="s">
        <v>6</v>
      </c>
    </row>
    <row r="4563" spans="1:11">
      <c r="A4563" t="s">
        <v>4659</v>
      </c>
      <c r="B4563">
        <v>325846</v>
      </c>
      <c r="C4563" s="2" t="str">
        <f>"02301"</f>
        <v>02301</v>
      </c>
      <c r="D4563" t="s">
        <v>4681</v>
      </c>
      <c r="E4563" t="s">
        <v>4</v>
      </c>
      <c r="F4563">
        <v>46.75</v>
      </c>
      <c r="H4563" t="s">
        <v>4682</v>
      </c>
      <c r="I4563" s="1">
        <v>72.75</v>
      </c>
      <c r="J4563" s="1">
        <v>72.75</v>
      </c>
      <c r="K4563" t="s">
        <v>6</v>
      </c>
    </row>
    <row r="4564" spans="1:11">
      <c r="A4564" t="s">
        <v>4659</v>
      </c>
      <c r="B4564">
        <v>326268</v>
      </c>
      <c r="C4564" s="2" t="str">
        <f>"02302"</f>
        <v>02302</v>
      </c>
      <c r="D4564" t="s">
        <v>4683</v>
      </c>
      <c r="E4564" t="s">
        <v>4</v>
      </c>
      <c r="F4564">
        <v>27.6</v>
      </c>
      <c r="H4564" t="s">
        <v>5</v>
      </c>
      <c r="I4564" s="1">
        <v>45.2</v>
      </c>
      <c r="J4564" s="1">
        <v>45.2</v>
      </c>
      <c r="K4564" t="s">
        <v>6</v>
      </c>
    </row>
    <row r="4565" spans="1:11">
      <c r="A4565" t="s">
        <v>4659</v>
      </c>
      <c r="B4565">
        <v>325141</v>
      </c>
      <c r="C4565" s="2" t="str">
        <f>"02363"</f>
        <v>02363</v>
      </c>
      <c r="D4565" t="s">
        <v>4684</v>
      </c>
      <c r="E4565" t="s">
        <v>4</v>
      </c>
      <c r="F4565">
        <v>19.5</v>
      </c>
      <c r="H4565" t="s">
        <v>5</v>
      </c>
      <c r="I4565" s="1">
        <v>52.21</v>
      </c>
      <c r="J4565" s="1">
        <v>52.21</v>
      </c>
      <c r="K4565" t="s">
        <v>6</v>
      </c>
    </row>
    <row r="4566" spans="1:11">
      <c r="A4566" t="s">
        <v>4659</v>
      </c>
      <c r="B4566">
        <v>325159</v>
      </c>
      <c r="C4566" s="2" t="str">
        <f>"02364"</f>
        <v>02364</v>
      </c>
      <c r="D4566" t="s">
        <v>4685</v>
      </c>
      <c r="E4566" t="s">
        <v>4</v>
      </c>
      <c r="F4566">
        <v>38</v>
      </c>
      <c r="H4566" t="s">
        <v>5</v>
      </c>
      <c r="I4566" s="1">
        <v>96.8</v>
      </c>
      <c r="J4566" s="1">
        <v>96.8</v>
      </c>
      <c r="K4566" t="s">
        <v>6</v>
      </c>
    </row>
    <row r="4567" spans="1:11">
      <c r="A4567" t="s">
        <v>4659</v>
      </c>
      <c r="B4567">
        <v>340319</v>
      </c>
      <c r="C4567" s="2" t="str">
        <f>"02370"</f>
        <v>02370</v>
      </c>
      <c r="D4567" t="s">
        <v>4686</v>
      </c>
      <c r="E4567" t="s">
        <v>4</v>
      </c>
      <c r="F4567">
        <v>10.199999999999999</v>
      </c>
      <c r="H4567" t="s">
        <v>5</v>
      </c>
      <c r="I4567" s="1">
        <v>32.5</v>
      </c>
      <c r="J4567" s="1">
        <v>32.5</v>
      </c>
      <c r="K4567" t="s">
        <v>6</v>
      </c>
    </row>
    <row r="4568" spans="1:11">
      <c r="A4568" t="s">
        <v>4659</v>
      </c>
      <c r="B4568">
        <v>355119</v>
      </c>
      <c r="C4568" s="2" t="str">
        <f>"02580"</f>
        <v>02580</v>
      </c>
      <c r="D4568" t="s">
        <v>4687</v>
      </c>
      <c r="E4568" t="s">
        <v>4</v>
      </c>
      <c r="F4568">
        <v>32.49</v>
      </c>
      <c r="H4568" t="s">
        <v>5</v>
      </c>
      <c r="I4568" s="1">
        <v>105.61</v>
      </c>
      <c r="J4568" s="1">
        <v>105.61</v>
      </c>
      <c r="K4568" t="s">
        <v>6</v>
      </c>
    </row>
    <row r="4569" spans="1:11">
      <c r="A4569" t="s">
        <v>4659</v>
      </c>
      <c r="B4569">
        <v>326880</v>
      </c>
      <c r="C4569" s="2" t="str">
        <f>"02584"</f>
        <v>02584</v>
      </c>
      <c r="D4569" t="s">
        <v>4688</v>
      </c>
      <c r="E4569" t="s">
        <v>4</v>
      </c>
      <c r="F4569">
        <v>8</v>
      </c>
      <c r="H4569" t="s">
        <v>5</v>
      </c>
      <c r="I4569" s="1">
        <v>37.700000000000003</v>
      </c>
      <c r="J4569" s="1">
        <v>37.700000000000003</v>
      </c>
      <c r="K4569" t="s">
        <v>6</v>
      </c>
    </row>
    <row r="4570" spans="1:11">
      <c r="A4570" t="s">
        <v>4659</v>
      </c>
      <c r="B4570">
        <v>325045</v>
      </c>
      <c r="C4570" s="2" t="str">
        <f>"02611"</f>
        <v>02611</v>
      </c>
      <c r="D4570" t="s">
        <v>4689</v>
      </c>
      <c r="E4570" t="s">
        <v>4</v>
      </c>
      <c r="F4570">
        <v>46.75</v>
      </c>
      <c r="H4570" t="s">
        <v>4682</v>
      </c>
      <c r="I4570" s="1">
        <v>75.569999999999993</v>
      </c>
      <c r="J4570" s="1">
        <v>75.569999999999993</v>
      </c>
      <c r="K4570" t="s">
        <v>6</v>
      </c>
    </row>
    <row r="4571" spans="1:11">
      <c r="A4571" t="s">
        <v>4659</v>
      </c>
      <c r="B4571">
        <v>325052</v>
      </c>
      <c r="C4571" s="2" t="str">
        <f>"02613"</f>
        <v>02613</v>
      </c>
      <c r="D4571" t="s">
        <v>4690</v>
      </c>
      <c r="E4571" t="s">
        <v>4</v>
      </c>
      <c r="F4571">
        <v>27.6</v>
      </c>
      <c r="H4571" t="s">
        <v>5</v>
      </c>
      <c r="I4571" s="1">
        <v>46.88</v>
      </c>
      <c r="J4571" s="1">
        <v>46.88</v>
      </c>
      <c r="K4571" t="s">
        <v>6</v>
      </c>
    </row>
    <row r="4572" spans="1:11">
      <c r="A4572" t="s">
        <v>4659</v>
      </c>
      <c r="B4572">
        <v>325084</v>
      </c>
      <c r="C4572" s="2" t="str">
        <f>"02618"</f>
        <v>02618</v>
      </c>
      <c r="D4572" t="s">
        <v>4691</v>
      </c>
      <c r="E4572" t="s">
        <v>4</v>
      </c>
      <c r="F4572">
        <v>46.75</v>
      </c>
      <c r="H4572" t="s">
        <v>4682</v>
      </c>
      <c r="I4572" s="1">
        <v>75.569999999999993</v>
      </c>
      <c r="J4572" s="1">
        <v>75.569999999999993</v>
      </c>
      <c r="K4572" t="s">
        <v>6</v>
      </c>
    </row>
    <row r="4573" spans="1:11">
      <c r="A4573" t="s">
        <v>4659</v>
      </c>
      <c r="B4573">
        <v>325091</v>
      </c>
      <c r="C4573" s="2" t="str">
        <f>"02619"</f>
        <v>02619</v>
      </c>
      <c r="D4573" t="s">
        <v>4692</v>
      </c>
      <c r="E4573" t="s">
        <v>4</v>
      </c>
      <c r="F4573">
        <v>29.5</v>
      </c>
      <c r="H4573" t="s">
        <v>5</v>
      </c>
      <c r="I4573" s="1">
        <v>46.88</v>
      </c>
      <c r="J4573" s="1">
        <v>46.88</v>
      </c>
      <c r="K4573" t="s">
        <v>6</v>
      </c>
    </row>
    <row r="4574" spans="1:11">
      <c r="A4574" t="s">
        <v>4659</v>
      </c>
      <c r="B4574">
        <v>326745</v>
      </c>
      <c r="C4574" s="2" t="str">
        <f>"02621"</f>
        <v>02621</v>
      </c>
      <c r="D4574" t="s">
        <v>4693</v>
      </c>
      <c r="E4574" t="s">
        <v>4</v>
      </c>
      <c r="F4574">
        <v>29.5</v>
      </c>
      <c r="H4574" t="s">
        <v>5</v>
      </c>
      <c r="I4574" s="1">
        <v>46.02</v>
      </c>
      <c r="J4574" s="1">
        <v>46.02</v>
      </c>
      <c r="K4574" t="s">
        <v>6</v>
      </c>
    </row>
    <row r="4575" spans="1:11">
      <c r="A4575" t="s">
        <v>4659</v>
      </c>
      <c r="B4575">
        <v>343729</v>
      </c>
      <c r="C4575" s="2" t="str">
        <f>"02699"</f>
        <v>02699</v>
      </c>
      <c r="D4575" t="s">
        <v>4694</v>
      </c>
      <c r="E4575" t="s">
        <v>4</v>
      </c>
      <c r="F4575">
        <v>19</v>
      </c>
      <c r="H4575" t="s">
        <v>5</v>
      </c>
      <c r="I4575" s="1">
        <v>34.81</v>
      </c>
      <c r="J4575" s="1">
        <v>34.81</v>
      </c>
      <c r="K4575" t="s">
        <v>6</v>
      </c>
    </row>
    <row r="4576" spans="1:11">
      <c r="A4576" t="s">
        <v>4659</v>
      </c>
      <c r="B4576">
        <v>446335</v>
      </c>
      <c r="C4576" s="2" t="str">
        <f>"03259"</f>
        <v>03259</v>
      </c>
      <c r="D4576" t="s">
        <v>4695</v>
      </c>
      <c r="E4576" t="s">
        <v>4</v>
      </c>
      <c r="F4576">
        <v>20.2</v>
      </c>
      <c r="H4576" t="s">
        <v>5</v>
      </c>
      <c r="I4576" s="1">
        <v>51.58</v>
      </c>
      <c r="J4576" s="1">
        <v>51.58</v>
      </c>
      <c r="K4576" t="s">
        <v>6</v>
      </c>
    </row>
    <row r="4577" spans="1:11">
      <c r="A4577" t="s">
        <v>4659</v>
      </c>
      <c r="B4577">
        <v>443746</v>
      </c>
      <c r="C4577" s="2" t="str">
        <f>"03335"</f>
        <v>03335</v>
      </c>
      <c r="D4577" t="s">
        <v>4696</v>
      </c>
      <c r="E4577" t="s">
        <v>4</v>
      </c>
      <c r="F4577">
        <v>12</v>
      </c>
      <c r="H4577" t="s">
        <v>5</v>
      </c>
      <c r="I4577" s="1">
        <v>30.98</v>
      </c>
      <c r="J4577" s="1">
        <v>30.98</v>
      </c>
      <c r="K4577" t="s">
        <v>6</v>
      </c>
    </row>
    <row r="4578" spans="1:11">
      <c r="A4578" t="s">
        <v>4659</v>
      </c>
      <c r="B4578">
        <v>447248</v>
      </c>
      <c r="C4578" s="2" t="str">
        <f>"04852"</f>
        <v>04852</v>
      </c>
      <c r="D4578" t="s">
        <v>4697</v>
      </c>
      <c r="E4578" t="s">
        <v>4</v>
      </c>
      <c r="F4578">
        <v>29.5</v>
      </c>
      <c r="H4578" t="s">
        <v>5</v>
      </c>
      <c r="I4578" s="1">
        <v>57.45</v>
      </c>
      <c r="J4578" s="1">
        <v>57.45</v>
      </c>
      <c r="K4578" t="s">
        <v>6</v>
      </c>
    </row>
    <row r="4579" spans="1:11">
      <c r="A4579" t="s">
        <v>4659</v>
      </c>
      <c r="B4579">
        <v>447250</v>
      </c>
      <c r="C4579" s="2" t="str">
        <f>"04853"</f>
        <v>04853</v>
      </c>
      <c r="D4579" t="s">
        <v>4698</v>
      </c>
      <c r="E4579" t="s">
        <v>4</v>
      </c>
      <c r="F4579">
        <v>26</v>
      </c>
      <c r="H4579" t="s">
        <v>5</v>
      </c>
      <c r="I4579" s="1">
        <v>50.7</v>
      </c>
      <c r="J4579" s="1">
        <v>50.7</v>
      </c>
      <c r="K4579" t="s">
        <v>6</v>
      </c>
    </row>
    <row r="4580" spans="1:11">
      <c r="A4580" t="s">
        <v>4659</v>
      </c>
      <c r="B4580">
        <v>447249</v>
      </c>
      <c r="C4580" s="2" t="str">
        <f>"04854"</f>
        <v>04854</v>
      </c>
      <c r="D4580" t="s">
        <v>4699</v>
      </c>
      <c r="E4580" t="s">
        <v>4</v>
      </c>
      <c r="F4580">
        <v>15</v>
      </c>
      <c r="H4580" t="s">
        <v>5</v>
      </c>
      <c r="I4580" s="1">
        <v>35.18</v>
      </c>
      <c r="J4580" s="1">
        <v>35.18</v>
      </c>
      <c r="K4580" t="s">
        <v>6</v>
      </c>
    </row>
    <row r="4581" spans="1:11">
      <c r="A4581" t="s">
        <v>4659</v>
      </c>
      <c r="B4581">
        <v>399859</v>
      </c>
      <c r="C4581" s="2" t="str">
        <f>"05112"</f>
        <v>05112</v>
      </c>
      <c r="D4581" t="s">
        <v>4700</v>
      </c>
      <c r="E4581" t="s">
        <v>4</v>
      </c>
      <c r="F4581">
        <v>25.55</v>
      </c>
      <c r="H4581" t="s">
        <v>5</v>
      </c>
      <c r="I4581" s="1">
        <v>77.22</v>
      </c>
      <c r="J4581" s="1">
        <v>77.22</v>
      </c>
      <c r="K4581" t="s">
        <v>6</v>
      </c>
    </row>
    <row r="4582" spans="1:11">
      <c r="A4582" t="s">
        <v>4659</v>
      </c>
      <c r="B4582">
        <v>463486</v>
      </c>
      <c r="C4582" s="2" t="str">
        <f>"07535"</f>
        <v>07535</v>
      </c>
      <c r="D4582" t="s">
        <v>4701</v>
      </c>
      <c r="E4582" t="s">
        <v>4</v>
      </c>
      <c r="F4582">
        <v>29.5</v>
      </c>
      <c r="H4582" t="s">
        <v>5</v>
      </c>
      <c r="I4582" s="1">
        <v>57.53</v>
      </c>
      <c r="J4582" s="1">
        <v>57.53</v>
      </c>
      <c r="K4582" t="s">
        <v>6</v>
      </c>
    </row>
    <row r="4583" spans="1:11">
      <c r="A4583" t="s">
        <v>4659</v>
      </c>
      <c r="B4583">
        <v>475251</v>
      </c>
      <c r="C4583" s="2" t="str">
        <f>"08636"</f>
        <v>08636</v>
      </c>
      <c r="D4583" t="s">
        <v>4702</v>
      </c>
      <c r="E4583" t="s">
        <v>4</v>
      </c>
      <c r="F4583">
        <v>5.13</v>
      </c>
      <c r="H4583" t="s">
        <v>5</v>
      </c>
      <c r="I4583" s="1">
        <v>37.83</v>
      </c>
      <c r="J4583" s="1">
        <v>37.83</v>
      </c>
      <c r="K4583" t="s">
        <v>6</v>
      </c>
    </row>
    <row r="4584" spans="1:11">
      <c r="A4584" t="s">
        <v>4659</v>
      </c>
      <c r="B4584">
        <v>461980</v>
      </c>
      <c r="C4584" s="2" t="str">
        <f>"08789"</f>
        <v>08789</v>
      </c>
      <c r="D4584" t="s">
        <v>4703</v>
      </c>
      <c r="E4584" t="s">
        <v>4</v>
      </c>
      <c r="F4584">
        <v>29.5</v>
      </c>
      <c r="H4584" t="s">
        <v>5</v>
      </c>
      <c r="I4584" s="1">
        <v>50.31</v>
      </c>
      <c r="J4584" s="1">
        <v>50.31</v>
      </c>
      <c r="K4584" t="s">
        <v>6</v>
      </c>
    </row>
    <row r="4585" spans="1:11">
      <c r="A4585" t="s">
        <v>4659</v>
      </c>
      <c r="B4585">
        <v>475390</v>
      </c>
      <c r="C4585" s="2" t="str">
        <f>"08886"</f>
        <v>08886</v>
      </c>
      <c r="D4585" t="s">
        <v>4704</v>
      </c>
      <c r="E4585" t="s">
        <v>4</v>
      </c>
      <c r="F4585">
        <v>30.63</v>
      </c>
      <c r="H4585" t="s">
        <v>5</v>
      </c>
      <c r="I4585" s="1">
        <v>75.09</v>
      </c>
      <c r="J4585" s="1">
        <v>75.09</v>
      </c>
      <c r="K4585" t="s">
        <v>6</v>
      </c>
    </row>
    <row r="4586" spans="1:11">
      <c r="A4586" t="s">
        <v>4659</v>
      </c>
      <c r="B4586">
        <v>482040</v>
      </c>
      <c r="C4586" s="2" t="str">
        <f>"12784"</f>
        <v>12784</v>
      </c>
      <c r="D4586" t="s">
        <v>4705</v>
      </c>
      <c r="E4586" t="s">
        <v>4</v>
      </c>
      <c r="F4586">
        <v>23.01</v>
      </c>
      <c r="H4586" t="s">
        <v>5</v>
      </c>
      <c r="I4586" s="1">
        <v>49.97</v>
      </c>
      <c r="J4586" s="1">
        <v>49.97</v>
      </c>
      <c r="K4586" t="s">
        <v>6</v>
      </c>
    </row>
    <row r="4587" spans="1:11">
      <c r="A4587" t="s">
        <v>4659</v>
      </c>
      <c r="B4587">
        <v>482047</v>
      </c>
      <c r="C4587" s="2" t="str">
        <f>"13878"</f>
        <v>13878</v>
      </c>
      <c r="D4587" t="s">
        <v>4706</v>
      </c>
      <c r="E4587" t="s">
        <v>4</v>
      </c>
      <c r="F4587">
        <v>23.01</v>
      </c>
      <c r="H4587" t="s">
        <v>5</v>
      </c>
      <c r="I4587" s="1">
        <v>65.599999999999994</v>
      </c>
      <c r="J4587" s="1">
        <v>65.599999999999994</v>
      </c>
      <c r="K4587" t="s">
        <v>6</v>
      </c>
    </row>
    <row r="4588" spans="1:11">
      <c r="A4588" t="s">
        <v>4659</v>
      </c>
      <c r="B4588">
        <v>482048</v>
      </c>
      <c r="C4588" s="2" t="str">
        <f>"13882"</f>
        <v>13882</v>
      </c>
      <c r="D4588" t="s">
        <v>4707</v>
      </c>
      <c r="E4588" t="s">
        <v>4</v>
      </c>
      <c r="F4588">
        <v>30.63</v>
      </c>
      <c r="H4588" t="s">
        <v>5</v>
      </c>
      <c r="I4588" s="1">
        <v>79.069999999999993</v>
      </c>
      <c r="J4588" s="1">
        <v>79.069999999999993</v>
      </c>
      <c r="K4588" t="s">
        <v>6</v>
      </c>
    </row>
    <row r="4589" spans="1:11">
      <c r="A4589" t="s">
        <v>4659</v>
      </c>
      <c r="B4589">
        <v>516214</v>
      </c>
      <c r="C4589" s="2" t="str">
        <f>"28318"</f>
        <v>28318</v>
      </c>
      <c r="D4589" t="s">
        <v>4708</v>
      </c>
      <c r="E4589" t="s">
        <v>4</v>
      </c>
      <c r="F4589">
        <v>12.84</v>
      </c>
      <c r="H4589" t="s">
        <v>5</v>
      </c>
      <c r="I4589" s="1">
        <v>37.44</v>
      </c>
      <c r="J4589" s="1">
        <v>37.44</v>
      </c>
      <c r="K4589" t="s">
        <v>6</v>
      </c>
    </row>
    <row r="4590" spans="1:11">
      <c r="A4590" t="s">
        <v>4659</v>
      </c>
      <c r="B4590">
        <v>516215</v>
      </c>
      <c r="C4590" s="2" t="str">
        <f>"28322"</f>
        <v>28322</v>
      </c>
      <c r="D4590" t="s">
        <v>4709</v>
      </c>
      <c r="E4590" t="s">
        <v>4</v>
      </c>
      <c r="F4590">
        <v>4.49</v>
      </c>
      <c r="H4590" t="s">
        <v>5</v>
      </c>
      <c r="I4590" s="1">
        <v>13.59</v>
      </c>
      <c r="J4590" s="1">
        <v>13.59</v>
      </c>
      <c r="K4590" t="s">
        <v>6</v>
      </c>
    </row>
    <row r="4591" spans="1:11">
      <c r="A4591" t="s">
        <v>4659</v>
      </c>
      <c r="B4591">
        <v>373400</v>
      </c>
      <c r="C4591" s="2" t="str">
        <f>"31240"</f>
        <v>31240</v>
      </c>
      <c r="D4591" t="s">
        <v>4710</v>
      </c>
      <c r="E4591" t="s">
        <v>4</v>
      </c>
      <c r="F4591">
        <v>20.2</v>
      </c>
      <c r="H4591" t="s">
        <v>5</v>
      </c>
      <c r="I4591" s="1">
        <v>44.51</v>
      </c>
      <c r="J4591" s="1">
        <v>44.51</v>
      </c>
      <c r="K4591" t="s">
        <v>6</v>
      </c>
    </row>
    <row r="4592" spans="1:11">
      <c r="A4592" t="s">
        <v>4659</v>
      </c>
      <c r="B4592">
        <v>373399</v>
      </c>
      <c r="C4592" s="2" t="str">
        <f>"31241"</f>
        <v>31241</v>
      </c>
      <c r="D4592" t="s">
        <v>4711</v>
      </c>
      <c r="E4592" t="s">
        <v>4</v>
      </c>
      <c r="F4592">
        <v>29.5</v>
      </c>
      <c r="H4592" t="s">
        <v>5</v>
      </c>
      <c r="I4592" s="1">
        <v>39.51</v>
      </c>
      <c r="J4592" s="1">
        <v>39.51</v>
      </c>
      <c r="K4592" t="s">
        <v>6</v>
      </c>
    </row>
    <row r="4593" spans="1:11">
      <c r="A4593" t="s">
        <v>4659</v>
      </c>
      <c r="B4593">
        <v>453513</v>
      </c>
      <c r="C4593" s="2" t="str">
        <f>"31568"</f>
        <v>31568</v>
      </c>
      <c r="D4593" t="s">
        <v>4712</v>
      </c>
      <c r="E4593" t="s">
        <v>4</v>
      </c>
      <c r="F4593">
        <v>29.5</v>
      </c>
      <c r="H4593" t="s">
        <v>5</v>
      </c>
      <c r="I4593" s="1">
        <v>53.35</v>
      </c>
      <c r="J4593" s="1">
        <v>53.35</v>
      </c>
      <c r="K4593" t="s">
        <v>6</v>
      </c>
    </row>
    <row r="4594" spans="1:11">
      <c r="A4594" t="s">
        <v>4659</v>
      </c>
      <c r="B4594">
        <v>471314</v>
      </c>
      <c r="C4594" s="2" t="str">
        <f>"31641"</f>
        <v>31641</v>
      </c>
      <c r="D4594" t="s">
        <v>4713</v>
      </c>
      <c r="E4594" t="s">
        <v>4</v>
      </c>
      <c r="F4594">
        <v>29.5</v>
      </c>
      <c r="H4594" t="s">
        <v>5</v>
      </c>
      <c r="I4594" s="1">
        <v>46.18</v>
      </c>
      <c r="J4594" s="1">
        <v>46.18</v>
      </c>
      <c r="K4594" t="s">
        <v>6</v>
      </c>
    </row>
    <row r="4595" spans="1:11">
      <c r="A4595" t="s">
        <v>4659</v>
      </c>
      <c r="B4595">
        <v>325166</v>
      </c>
      <c r="C4595" s="2" t="str">
        <f>"31973"</f>
        <v>31973</v>
      </c>
      <c r="D4595" t="s">
        <v>4714</v>
      </c>
      <c r="E4595" t="s">
        <v>4</v>
      </c>
      <c r="F4595">
        <v>22.25</v>
      </c>
      <c r="H4595" t="s">
        <v>5</v>
      </c>
      <c r="I4595" s="1">
        <v>96.72</v>
      </c>
      <c r="J4595" s="1">
        <v>96.72</v>
      </c>
      <c r="K4595" t="s">
        <v>6</v>
      </c>
    </row>
    <row r="4596" spans="1:11">
      <c r="A4596" t="s">
        <v>4659</v>
      </c>
      <c r="B4596">
        <v>453516</v>
      </c>
      <c r="C4596" s="2" t="str">
        <f>"32535"</f>
        <v>32535</v>
      </c>
      <c r="D4596" t="s">
        <v>4715</v>
      </c>
      <c r="E4596" t="s">
        <v>4</v>
      </c>
      <c r="F4596">
        <v>18.600000000000001</v>
      </c>
      <c r="H4596" t="s">
        <v>5</v>
      </c>
      <c r="I4596" s="1">
        <v>90.84</v>
      </c>
      <c r="J4596" s="1">
        <v>90.84</v>
      </c>
      <c r="K4596" t="s">
        <v>6</v>
      </c>
    </row>
    <row r="4597" spans="1:11">
      <c r="A4597" t="s">
        <v>4659</v>
      </c>
      <c r="B4597">
        <v>385152</v>
      </c>
      <c r="C4597" s="2" t="str">
        <f>"32538"</f>
        <v>32538</v>
      </c>
      <c r="D4597" t="s">
        <v>4716</v>
      </c>
      <c r="E4597" t="s">
        <v>4</v>
      </c>
      <c r="F4597">
        <v>18.600000000000001</v>
      </c>
      <c r="H4597" t="s">
        <v>5</v>
      </c>
      <c r="I4597" s="1">
        <v>87</v>
      </c>
      <c r="J4597" s="1">
        <v>87</v>
      </c>
      <c r="K4597" t="s">
        <v>6</v>
      </c>
    </row>
    <row r="4598" spans="1:11">
      <c r="A4598" t="s">
        <v>4659</v>
      </c>
      <c r="B4598">
        <v>520629</v>
      </c>
      <c r="C4598" s="2" t="str">
        <f>"32987"</f>
        <v>32987</v>
      </c>
      <c r="D4598" t="s">
        <v>4717</v>
      </c>
      <c r="E4598" t="s">
        <v>4</v>
      </c>
      <c r="F4598">
        <v>35.659999999999997</v>
      </c>
      <c r="H4598" t="s">
        <v>5</v>
      </c>
      <c r="I4598" s="1">
        <v>36.19</v>
      </c>
      <c r="J4598" s="1">
        <v>36.19</v>
      </c>
      <c r="K4598" t="s">
        <v>6</v>
      </c>
    </row>
    <row r="4599" spans="1:11">
      <c r="A4599" t="s">
        <v>4659</v>
      </c>
      <c r="B4599">
        <v>383559</v>
      </c>
      <c r="C4599" s="2" t="str">
        <f>"34953"</f>
        <v>34953</v>
      </c>
      <c r="D4599" t="s">
        <v>4718</v>
      </c>
      <c r="E4599" t="s">
        <v>4</v>
      </c>
      <c r="F4599">
        <v>34.5</v>
      </c>
      <c r="H4599" t="s">
        <v>5</v>
      </c>
      <c r="I4599" s="1">
        <v>51.09</v>
      </c>
      <c r="J4599" s="1">
        <v>51.09</v>
      </c>
      <c r="K4599" t="s">
        <v>6</v>
      </c>
    </row>
    <row r="4600" spans="1:11">
      <c r="A4600" t="s">
        <v>4659</v>
      </c>
      <c r="B4600">
        <v>389356</v>
      </c>
      <c r="C4600" s="2" t="str">
        <f>"36217"</f>
        <v>36217</v>
      </c>
      <c r="D4600" t="s">
        <v>4719</v>
      </c>
      <c r="E4600" t="s">
        <v>4</v>
      </c>
      <c r="F4600">
        <v>29.5</v>
      </c>
      <c r="H4600" t="s">
        <v>5</v>
      </c>
      <c r="I4600" s="1">
        <v>47.15</v>
      </c>
      <c r="J4600" s="1">
        <v>47.15</v>
      </c>
      <c r="K4600" t="s">
        <v>6</v>
      </c>
    </row>
    <row r="4601" spans="1:11">
      <c r="A4601" t="s">
        <v>4659</v>
      </c>
      <c r="B4601">
        <v>435714</v>
      </c>
      <c r="C4601" s="2" t="str">
        <f>"45112"</f>
        <v>45112</v>
      </c>
      <c r="D4601" t="s">
        <v>4720</v>
      </c>
      <c r="E4601" t="s">
        <v>4</v>
      </c>
      <c r="F4601">
        <v>22.3</v>
      </c>
      <c r="H4601" t="s">
        <v>5</v>
      </c>
      <c r="I4601" s="1">
        <v>41.5</v>
      </c>
      <c r="J4601" s="1">
        <v>41.5</v>
      </c>
      <c r="K4601" t="s">
        <v>6</v>
      </c>
    </row>
    <row r="4602" spans="1:11">
      <c r="A4602" t="s">
        <v>4659</v>
      </c>
      <c r="B4602">
        <v>435713</v>
      </c>
      <c r="C4602" s="2" t="str">
        <f>"45113"</f>
        <v>45113</v>
      </c>
      <c r="D4602" t="s">
        <v>4721</v>
      </c>
      <c r="E4602" t="s">
        <v>4</v>
      </c>
      <c r="F4602">
        <v>22.3</v>
      </c>
      <c r="H4602" t="s">
        <v>5</v>
      </c>
      <c r="I4602" s="1">
        <v>41.5</v>
      </c>
      <c r="J4602" s="1">
        <v>41.5</v>
      </c>
      <c r="K4602" t="s">
        <v>6</v>
      </c>
    </row>
    <row r="4603" spans="1:11">
      <c r="A4603" t="s">
        <v>4659</v>
      </c>
      <c r="B4603">
        <v>435715</v>
      </c>
      <c r="C4603" s="2" t="str">
        <f>"45114"</f>
        <v>45114</v>
      </c>
      <c r="D4603" t="s">
        <v>4722</v>
      </c>
      <c r="E4603" t="s">
        <v>4</v>
      </c>
      <c r="F4603">
        <v>22.3</v>
      </c>
      <c r="H4603" t="s">
        <v>5</v>
      </c>
      <c r="I4603" s="1">
        <v>40.04</v>
      </c>
      <c r="J4603" s="1">
        <v>40.04</v>
      </c>
      <c r="K4603" t="s">
        <v>6</v>
      </c>
    </row>
    <row r="4604" spans="1:11">
      <c r="A4604" t="s">
        <v>4659</v>
      </c>
      <c r="B4604">
        <v>527635</v>
      </c>
      <c r="C4604" s="2" t="str">
        <f>"47434"</f>
        <v>47434</v>
      </c>
      <c r="D4604" t="s">
        <v>4723</v>
      </c>
      <c r="E4604" t="s">
        <v>4</v>
      </c>
      <c r="F4604">
        <v>12.35</v>
      </c>
      <c r="H4604" t="s">
        <v>5</v>
      </c>
      <c r="I4604" s="1">
        <v>55.59</v>
      </c>
      <c r="J4604" s="1">
        <v>55.59</v>
      </c>
      <c r="K4604" t="s">
        <v>6</v>
      </c>
    </row>
    <row r="4605" spans="1:11">
      <c r="A4605" t="s">
        <v>4659</v>
      </c>
      <c r="B4605">
        <v>527634</v>
      </c>
      <c r="C4605" s="2" t="str">
        <f>"47435"</f>
        <v>47435</v>
      </c>
      <c r="D4605" t="s">
        <v>4724</v>
      </c>
      <c r="E4605" t="s">
        <v>4</v>
      </c>
      <c r="F4605">
        <v>12.35</v>
      </c>
      <c r="H4605" t="s">
        <v>5</v>
      </c>
      <c r="I4605" s="1">
        <v>54.44</v>
      </c>
      <c r="J4605" s="1">
        <v>54.44</v>
      </c>
      <c r="K4605" t="s">
        <v>6</v>
      </c>
    </row>
    <row r="4606" spans="1:11">
      <c r="A4606" t="s">
        <v>4659</v>
      </c>
      <c r="B4606">
        <v>536283</v>
      </c>
      <c r="C4606" s="2" t="str">
        <f>"51042"</f>
        <v>51042</v>
      </c>
      <c r="D4606" t="s">
        <v>4725</v>
      </c>
      <c r="E4606" t="s">
        <v>4</v>
      </c>
      <c r="F4606">
        <v>4.59</v>
      </c>
      <c r="H4606" t="s">
        <v>5</v>
      </c>
      <c r="I4606" s="1">
        <v>27.48</v>
      </c>
      <c r="J4606" s="1">
        <v>27.48</v>
      </c>
      <c r="K4606" t="s">
        <v>6</v>
      </c>
    </row>
    <row r="4607" spans="1:11">
      <c r="A4607" t="s">
        <v>4659</v>
      </c>
      <c r="B4607">
        <v>536284</v>
      </c>
      <c r="C4607" s="2" t="str">
        <f>"51043"</f>
        <v>51043</v>
      </c>
      <c r="D4607" t="s">
        <v>4726</v>
      </c>
      <c r="E4607" t="s">
        <v>4</v>
      </c>
      <c r="F4607">
        <v>4.59</v>
      </c>
      <c r="H4607" t="s">
        <v>5</v>
      </c>
      <c r="I4607" s="1">
        <v>28.94</v>
      </c>
      <c r="J4607" s="1">
        <v>28.94</v>
      </c>
      <c r="K4607" t="s">
        <v>6</v>
      </c>
    </row>
    <row r="4608" spans="1:11">
      <c r="A4608" t="s">
        <v>4659</v>
      </c>
      <c r="B4608">
        <v>560789</v>
      </c>
      <c r="C4608" s="2" t="str">
        <f>"52511"</f>
        <v>52511</v>
      </c>
      <c r="D4608" t="s">
        <v>4727</v>
      </c>
      <c r="E4608" t="s">
        <v>4</v>
      </c>
      <c r="F4608">
        <v>16.68</v>
      </c>
      <c r="H4608" t="s">
        <v>5</v>
      </c>
      <c r="I4608" s="1">
        <v>126.96</v>
      </c>
      <c r="J4608" s="1">
        <v>126.96</v>
      </c>
      <c r="K4608" t="s">
        <v>6</v>
      </c>
    </row>
    <row r="4609" spans="1:11">
      <c r="A4609" t="s">
        <v>4659</v>
      </c>
      <c r="B4609">
        <v>545843</v>
      </c>
      <c r="C4609" s="2" t="str">
        <f>"53835"</f>
        <v>53835</v>
      </c>
      <c r="D4609" t="s">
        <v>4728</v>
      </c>
      <c r="E4609" t="s">
        <v>4</v>
      </c>
      <c r="F4609">
        <v>19.62</v>
      </c>
      <c r="H4609" t="s">
        <v>5</v>
      </c>
      <c r="I4609" s="1">
        <v>40.479999999999997</v>
      </c>
      <c r="J4609" s="1">
        <v>40.479999999999997</v>
      </c>
      <c r="K4609" t="s">
        <v>6</v>
      </c>
    </row>
    <row r="4610" spans="1:11">
      <c r="A4610" t="s">
        <v>4659</v>
      </c>
      <c r="B4610">
        <v>558428</v>
      </c>
      <c r="C4610" s="2" t="str">
        <f>"56037"</f>
        <v>56037</v>
      </c>
      <c r="D4610" t="s">
        <v>4729</v>
      </c>
      <c r="E4610" t="s">
        <v>4</v>
      </c>
      <c r="F4610">
        <v>13.25</v>
      </c>
      <c r="H4610" t="s">
        <v>5</v>
      </c>
      <c r="I4610" s="1">
        <v>54.37</v>
      </c>
      <c r="J4610" s="1">
        <v>54.37</v>
      </c>
      <c r="K4610" t="s">
        <v>6</v>
      </c>
    </row>
    <row r="4611" spans="1:11">
      <c r="A4611" t="s">
        <v>4659</v>
      </c>
      <c r="B4611">
        <v>348673</v>
      </c>
      <c r="C4611" s="2" t="str">
        <f>"80168"</f>
        <v>80168</v>
      </c>
      <c r="D4611" t="s">
        <v>4730</v>
      </c>
      <c r="E4611" t="s">
        <v>4</v>
      </c>
      <c r="F4611">
        <v>6.52</v>
      </c>
      <c r="H4611" t="s">
        <v>5</v>
      </c>
      <c r="I4611" s="1">
        <v>53.66</v>
      </c>
      <c r="J4611" s="1">
        <v>53.66</v>
      </c>
      <c r="K4611" t="s">
        <v>6</v>
      </c>
    </row>
    <row r="4612" spans="1:11">
      <c r="A4612" t="s">
        <v>4659</v>
      </c>
      <c r="B4612">
        <v>554271</v>
      </c>
      <c r="C4612" s="2" t="str">
        <f>"82027"</f>
        <v>82027</v>
      </c>
      <c r="D4612" t="s">
        <v>4731</v>
      </c>
      <c r="E4612" t="s">
        <v>4</v>
      </c>
      <c r="F4612">
        <v>1.05</v>
      </c>
      <c r="H4612" t="s">
        <v>5</v>
      </c>
      <c r="I4612" s="1">
        <v>26.75</v>
      </c>
      <c r="J4612" s="1">
        <v>26.75</v>
      </c>
      <c r="K4612" t="s">
        <v>6</v>
      </c>
    </row>
    <row r="4613" spans="1:11">
      <c r="A4613" t="s">
        <v>2434</v>
      </c>
      <c r="B4613">
        <v>427340</v>
      </c>
      <c r="C4613" s="2" t="str">
        <f>"00036241742768"</f>
        <v>00036241742768</v>
      </c>
      <c r="D4613" t="s">
        <v>2435</v>
      </c>
      <c r="E4613" t="s">
        <v>4</v>
      </c>
      <c r="F4613">
        <v>19.11</v>
      </c>
      <c r="H4613" t="s">
        <v>5</v>
      </c>
      <c r="I4613" s="1">
        <v>80.5</v>
      </c>
      <c r="J4613" s="1">
        <v>80.5</v>
      </c>
      <c r="K4613" t="s">
        <v>6</v>
      </c>
    </row>
    <row r="4614" spans="1:11">
      <c r="A4614" t="s">
        <v>2434</v>
      </c>
      <c r="B4614">
        <v>349465</v>
      </c>
      <c r="C4614" s="2" t="str">
        <f>"00036241742782"</f>
        <v>00036241742782</v>
      </c>
      <c r="D4614" t="s">
        <v>2436</v>
      </c>
      <c r="E4614" t="s">
        <v>4</v>
      </c>
      <c r="F4614">
        <v>30.1</v>
      </c>
      <c r="H4614" t="s">
        <v>5</v>
      </c>
      <c r="I4614" s="1">
        <v>36.5</v>
      </c>
      <c r="J4614" s="1">
        <v>36.5</v>
      </c>
      <c r="K4614" t="s">
        <v>6</v>
      </c>
    </row>
    <row r="4615" spans="1:11">
      <c r="A4615" t="s">
        <v>2434</v>
      </c>
      <c r="B4615">
        <v>363192</v>
      </c>
      <c r="C4615" s="2" t="str">
        <f>"02814"</f>
        <v>02814</v>
      </c>
      <c r="D4615" t="s">
        <v>2437</v>
      </c>
      <c r="E4615" t="s">
        <v>4</v>
      </c>
      <c r="F4615">
        <v>37.5</v>
      </c>
      <c r="H4615" t="s">
        <v>5</v>
      </c>
      <c r="I4615" s="1">
        <v>76.86</v>
      </c>
      <c r="J4615" s="1">
        <v>76.86</v>
      </c>
      <c r="K4615" t="s">
        <v>6</v>
      </c>
    </row>
    <row r="4616" spans="1:11">
      <c r="A4616" t="s">
        <v>2434</v>
      </c>
      <c r="B4616">
        <v>349453</v>
      </c>
      <c r="C4616" s="2" t="str">
        <f>"10036241027756"</f>
        <v>10036241027756</v>
      </c>
      <c r="D4616" t="s">
        <v>2438</v>
      </c>
      <c r="E4616" t="s">
        <v>4</v>
      </c>
      <c r="F4616">
        <v>23.4</v>
      </c>
      <c r="H4616" t="s">
        <v>5</v>
      </c>
      <c r="I4616" s="1">
        <v>40.090000000000003</v>
      </c>
      <c r="J4616" s="1">
        <v>40.090000000000003</v>
      </c>
      <c r="K4616" t="s">
        <v>6</v>
      </c>
    </row>
    <row r="4617" spans="1:11">
      <c r="A4617" t="s">
        <v>2434</v>
      </c>
      <c r="B4617">
        <v>349458</v>
      </c>
      <c r="C4617" s="2" t="str">
        <f>"10036241046504"</f>
        <v>10036241046504</v>
      </c>
      <c r="D4617" t="s">
        <v>2439</v>
      </c>
      <c r="E4617" t="s">
        <v>4</v>
      </c>
      <c r="F4617">
        <v>19.11</v>
      </c>
      <c r="H4617" t="s">
        <v>5</v>
      </c>
      <c r="I4617" s="1">
        <v>80.5</v>
      </c>
      <c r="J4617" s="1">
        <v>80.5</v>
      </c>
      <c r="K4617" t="s">
        <v>6</v>
      </c>
    </row>
    <row r="4618" spans="1:11">
      <c r="A4618" t="s">
        <v>2434</v>
      </c>
      <c r="B4618">
        <v>349464</v>
      </c>
      <c r="C4618" s="2" t="str">
        <f>"10036241046856"</f>
        <v>10036241046856</v>
      </c>
      <c r="D4618" t="s">
        <v>2440</v>
      </c>
      <c r="E4618" t="s">
        <v>4</v>
      </c>
      <c r="F4618">
        <v>30.6</v>
      </c>
      <c r="H4618" t="s">
        <v>5</v>
      </c>
      <c r="I4618" s="1">
        <v>61.15</v>
      </c>
      <c r="J4618" s="1">
        <v>61.15</v>
      </c>
      <c r="K4618" t="s">
        <v>6</v>
      </c>
    </row>
    <row r="4619" spans="1:11">
      <c r="A4619" t="s">
        <v>2434</v>
      </c>
      <c r="B4619">
        <v>363193</v>
      </c>
      <c r="C4619" s="2" t="str">
        <f>"10036241743892"</f>
        <v>10036241743892</v>
      </c>
      <c r="D4619" t="s">
        <v>2441</v>
      </c>
      <c r="E4619" t="s">
        <v>4</v>
      </c>
      <c r="F4619">
        <v>36</v>
      </c>
      <c r="H4619" t="s">
        <v>5</v>
      </c>
      <c r="I4619" s="1">
        <v>51.58</v>
      </c>
      <c r="J4619" s="1">
        <v>51.58</v>
      </c>
      <c r="K4619" t="s">
        <v>6</v>
      </c>
    </row>
    <row r="4620" spans="1:11">
      <c r="A4620" t="s">
        <v>2434</v>
      </c>
      <c r="B4620">
        <v>363190</v>
      </c>
      <c r="C4620" s="2" t="str">
        <f>"10036241743922"</f>
        <v>10036241743922</v>
      </c>
      <c r="D4620" t="s">
        <v>2442</v>
      </c>
      <c r="E4620" t="s">
        <v>4</v>
      </c>
      <c r="F4620">
        <v>38.25</v>
      </c>
      <c r="H4620" t="s">
        <v>5</v>
      </c>
      <c r="I4620" s="1">
        <v>48.31</v>
      </c>
      <c r="J4620" s="1">
        <v>48.31</v>
      </c>
      <c r="K4620" t="s">
        <v>6</v>
      </c>
    </row>
    <row r="4621" spans="1:11">
      <c r="A4621" t="s">
        <v>2434</v>
      </c>
      <c r="B4621">
        <v>349449</v>
      </c>
      <c r="C4621" s="2" t="str">
        <f>"10036241744110"</f>
        <v>10036241744110</v>
      </c>
      <c r="D4621" t="s">
        <v>2443</v>
      </c>
      <c r="E4621" t="s">
        <v>4</v>
      </c>
      <c r="F4621">
        <v>30.6</v>
      </c>
      <c r="H4621" t="s">
        <v>5</v>
      </c>
      <c r="I4621" s="1">
        <v>58.97</v>
      </c>
      <c r="J4621" s="1">
        <v>58.97</v>
      </c>
      <c r="K4621" t="s">
        <v>6</v>
      </c>
    </row>
    <row r="4622" spans="1:11">
      <c r="A4622" t="s">
        <v>2434</v>
      </c>
      <c r="B4622">
        <v>364313</v>
      </c>
      <c r="C4622" s="2" t="str">
        <f>"10036241955240"</f>
        <v>10036241955240</v>
      </c>
      <c r="D4622" t="s">
        <v>2444</v>
      </c>
      <c r="E4622" t="s">
        <v>4</v>
      </c>
      <c r="F4622">
        <v>23</v>
      </c>
      <c r="H4622" t="s">
        <v>5</v>
      </c>
      <c r="I4622" s="1">
        <v>40.090000000000003</v>
      </c>
      <c r="J4622" s="1">
        <v>40.090000000000003</v>
      </c>
      <c r="K4622" t="s">
        <v>6</v>
      </c>
    </row>
    <row r="4623" spans="1:11">
      <c r="A4623" t="s">
        <v>2434</v>
      </c>
      <c r="B4623">
        <v>257053</v>
      </c>
      <c r="C4623" s="2" t="str">
        <f>"10062338042500"</f>
        <v>10062338042500</v>
      </c>
      <c r="D4623" t="s">
        <v>2445</v>
      </c>
      <c r="E4623" t="s">
        <v>4</v>
      </c>
      <c r="F4623">
        <v>11.8</v>
      </c>
      <c r="H4623" t="s">
        <v>5</v>
      </c>
      <c r="I4623" s="1">
        <v>37.28</v>
      </c>
      <c r="J4623" s="1">
        <v>37.28</v>
      </c>
      <c r="K4623" t="s">
        <v>6</v>
      </c>
    </row>
    <row r="4624" spans="1:11">
      <c r="A4624" t="s">
        <v>2434</v>
      </c>
      <c r="B4624">
        <v>343537</v>
      </c>
      <c r="C4624" s="2" t="str">
        <f>"10062338740178"</f>
        <v>10062338740178</v>
      </c>
      <c r="D4624" t="s">
        <v>2446</v>
      </c>
      <c r="E4624" t="s">
        <v>4</v>
      </c>
      <c r="F4624">
        <v>11.8</v>
      </c>
      <c r="H4624" t="s">
        <v>5</v>
      </c>
      <c r="I4624" s="1">
        <v>37.28</v>
      </c>
      <c r="J4624" s="1">
        <v>37.28</v>
      </c>
      <c r="K4624" t="s">
        <v>6</v>
      </c>
    </row>
    <row r="4625" spans="1:11">
      <c r="A4625" t="s">
        <v>2434</v>
      </c>
      <c r="B4625">
        <v>344682</v>
      </c>
      <c r="C4625" s="2" t="str">
        <f>"10062338740352"</f>
        <v>10062338740352</v>
      </c>
      <c r="D4625" t="s">
        <v>2447</v>
      </c>
      <c r="E4625" t="s">
        <v>4</v>
      </c>
      <c r="F4625">
        <v>13.32</v>
      </c>
      <c r="H4625" t="s">
        <v>5</v>
      </c>
      <c r="I4625" s="1">
        <v>40.72</v>
      </c>
      <c r="J4625" s="1">
        <v>40.72</v>
      </c>
      <c r="K4625" t="s">
        <v>6</v>
      </c>
    </row>
    <row r="4626" spans="1:11">
      <c r="A4626" t="s">
        <v>2434</v>
      </c>
      <c r="B4626">
        <v>424976</v>
      </c>
      <c r="C4626" s="2" t="str">
        <f>"75116"</f>
        <v>75116</v>
      </c>
      <c r="D4626" t="s">
        <v>2448</v>
      </c>
      <c r="E4626" t="s">
        <v>4</v>
      </c>
      <c r="F4626">
        <v>35.5</v>
      </c>
      <c r="H4626" t="s">
        <v>5</v>
      </c>
      <c r="I4626" s="1">
        <v>41.44</v>
      </c>
      <c r="J4626" s="1">
        <v>41.44</v>
      </c>
      <c r="K4626" t="s">
        <v>6</v>
      </c>
    </row>
    <row r="4627" spans="1:11">
      <c r="A4627" t="s">
        <v>2434</v>
      </c>
      <c r="B4627">
        <v>491645</v>
      </c>
      <c r="C4627" s="2" t="str">
        <f>"80689"</f>
        <v>80689</v>
      </c>
      <c r="D4627" t="s">
        <v>2449</v>
      </c>
      <c r="E4627" t="s">
        <v>4</v>
      </c>
      <c r="F4627">
        <v>31.6</v>
      </c>
      <c r="H4627" t="s">
        <v>5</v>
      </c>
      <c r="I4627" s="1">
        <v>48.59</v>
      </c>
      <c r="J4627" s="1">
        <v>48.59</v>
      </c>
      <c r="K4627" t="s">
        <v>6</v>
      </c>
    </row>
    <row r="4628" spans="1:11">
      <c r="A4628" t="s">
        <v>2434</v>
      </c>
      <c r="B4628">
        <v>486040</v>
      </c>
      <c r="C4628" s="2" t="str">
        <f>"81145"</f>
        <v>81145</v>
      </c>
      <c r="D4628" t="s">
        <v>2450</v>
      </c>
      <c r="E4628" t="s">
        <v>4</v>
      </c>
      <c r="F4628">
        <v>9.6</v>
      </c>
      <c r="H4628" t="s">
        <v>5</v>
      </c>
      <c r="I4628" s="1">
        <v>36.5</v>
      </c>
      <c r="J4628" s="1">
        <v>36.5</v>
      </c>
      <c r="K4628" t="s">
        <v>6</v>
      </c>
    </row>
    <row r="4629" spans="1:11">
      <c r="A4629" t="s">
        <v>2434</v>
      </c>
      <c r="B4629">
        <v>383485</v>
      </c>
      <c r="C4629" s="2" t="str">
        <f>"94201"</f>
        <v>94201</v>
      </c>
      <c r="D4629" t="s">
        <v>2451</v>
      </c>
      <c r="E4629" t="s">
        <v>4</v>
      </c>
      <c r="F4629">
        <v>36.75</v>
      </c>
      <c r="H4629" t="s">
        <v>5</v>
      </c>
      <c r="I4629" s="1">
        <v>63.49</v>
      </c>
      <c r="J4629" s="1">
        <v>63.49</v>
      </c>
      <c r="K4629" t="s">
        <v>6</v>
      </c>
    </row>
    <row r="4630" spans="1:11">
      <c r="A4630" t="s">
        <v>4732</v>
      </c>
      <c r="B4630">
        <v>568711</v>
      </c>
      <c r="C4630" s="2" t="str">
        <f>"1014"</f>
        <v>1014</v>
      </c>
      <c r="D4630" t="s">
        <v>4733</v>
      </c>
      <c r="E4630" t="s">
        <v>4</v>
      </c>
      <c r="F4630">
        <v>3.6</v>
      </c>
      <c r="H4630" t="s">
        <v>5</v>
      </c>
      <c r="I4630" s="1">
        <v>70.2</v>
      </c>
      <c r="J4630" s="1">
        <v>66.69</v>
      </c>
      <c r="K4630" t="s">
        <v>6</v>
      </c>
    </row>
    <row r="4631" spans="1:11">
      <c r="A4631" t="s">
        <v>4732</v>
      </c>
      <c r="B4631">
        <v>568715</v>
      </c>
      <c r="C4631" s="2" t="str">
        <f>"1018"</f>
        <v>1018</v>
      </c>
      <c r="D4631" t="s">
        <v>4734</v>
      </c>
      <c r="E4631" t="s">
        <v>4</v>
      </c>
      <c r="F4631">
        <v>7.2</v>
      </c>
      <c r="H4631" t="s">
        <v>5</v>
      </c>
      <c r="I4631" s="1">
        <v>86.58</v>
      </c>
      <c r="J4631" s="1">
        <v>82.25</v>
      </c>
      <c r="K4631" t="s">
        <v>6</v>
      </c>
    </row>
    <row r="4632" spans="1:11">
      <c r="A4632" t="s">
        <v>4732</v>
      </c>
      <c r="B4632">
        <v>568719</v>
      </c>
      <c r="C4632" s="2" t="str">
        <f>"1024"</f>
        <v>1024</v>
      </c>
      <c r="D4632" t="s">
        <v>4735</v>
      </c>
      <c r="E4632" t="s">
        <v>4</v>
      </c>
      <c r="F4632">
        <v>7.2</v>
      </c>
      <c r="H4632" t="s">
        <v>5</v>
      </c>
      <c r="I4632" s="1">
        <v>78</v>
      </c>
      <c r="J4632" s="1">
        <v>74.099999999999994</v>
      </c>
      <c r="K4632" t="s">
        <v>6</v>
      </c>
    </row>
    <row r="4633" spans="1:11">
      <c r="A4633" t="s">
        <v>4732</v>
      </c>
      <c r="B4633">
        <v>568752</v>
      </c>
      <c r="C4633" s="2" t="str">
        <f>"301WS"</f>
        <v>301WS</v>
      </c>
      <c r="D4633" t="s">
        <v>4736</v>
      </c>
      <c r="E4633" t="s">
        <v>4</v>
      </c>
      <c r="F4633">
        <v>5</v>
      </c>
      <c r="H4633" t="s">
        <v>5</v>
      </c>
      <c r="I4633" s="1">
        <v>79.17</v>
      </c>
      <c r="J4633" s="1">
        <v>75.209999999999994</v>
      </c>
      <c r="K4633" t="s">
        <v>6</v>
      </c>
    </row>
    <row r="4634" spans="1:11">
      <c r="A4634" t="s">
        <v>4732</v>
      </c>
      <c r="B4634">
        <v>568728</v>
      </c>
      <c r="C4634" s="2" t="str">
        <f>"327BK"</f>
        <v>327BK</v>
      </c>
      <c r="D4634" t="s">
        <v>4737</v>
      </c>
      <c r="E4634" t="s">
        <v>4</v>
      </c>
      <c r="F4634">
        <v>6</v>
      </c>
      <c r="H4634" t="s">
        <v>5</v>
      </c>
      <c r="I4634" s="1">
        <v>15.21</v>
      </c>
      <c r="J4634" s="1">
        <v>14.45</v>
      </c>
      <c r="K4634" t="s">
        <v>6</v>
      </c>
    </row>
    <row r="4635" spans="1:11">
      <c r="A4635" t="s">
        <v>4732</v>
      </c>
      <c r="B4635">
        <v>568727</v>
      </c>
      <c r="C4635" s="2" t="str">
        <f>"407"</f>
        <v>407</v>
      </c>
      <c r="D4635" t="s">
        <v>4738</v>
      </c>
      <c r="E4635" t="s">
        <v>4</v>
      </c>
      <c r="F4635">
        <v>5</v>
      </c>
      <c r="H4635" t="s">
        <v>5</v>
      </c>
      <c r="I4635" s="1">
        <v>39.39</v>
      </c>
      <c r="J4635" s="1">
        <v>37.42</v>
      </c>
      <c r="K4635" t="s">
        <v>6</v>
      </c>
    </row>
    <row r="4636" spans="1:11">
      <c r="A4636" t="s">
        <v>4732</v>
      </c>
      <c r="B4636">
        <v>568729</v>
      </c>
      <c r="C4636" s="2" t="str">
        <f>"536BKDC"</f>
        <v>536BKDC</v>
      </c>
      <c r="D4636" t="s">
        <v>4739</v>
      </c>
      <c r="E4636" t="s">
        <v>4</v>
      </c>
      <c r="F4636">
        <v>5</v>
      </c>
      <c r="H4636" t="s">
        <v>5</v>
      </c>
      <c r="I4636" s="1">
        <v>30.03</v>
      </c>
      <c r="J4636" s="1">
        <v>28.53</v>
      </c>
      <c r="K4636" t="s">
        <v>6</v>
      </c>
    </row>
    <row r="4637" spans="1:11">
      <c r="A4637" t="s">
        <v>4732</v>
      </c>
      <c r="B4637">
        <v>568730</v>
      </c>
      <c r="C4637" s="2" t="str">
        <f>"538BKDC"</f>
        <v>538BKDC</v>
      </c>
      <c r="D4637" t="s">
        <v>4740</v>
      </c>
      <c r="E4637" t="s">
        <v>4</v>
      </c>
      <c r="F4637">
        <v>5</v>
      </c>
      <c r="H4637" t="s">
        <v>5</v>
      </c>
      <c r="I4637" s="1">
        <v>30.03</v>
      </c>
      <c r="J4637" s="1">
        <v>28.53</v>
      </c>
      <c r="K4637" t="s">
        <v>6</v>
      </c>
    </row>
    <row r="4638" spans="1:11">
      <c r="A4638" t="s">
        <v>4732</v>
      </c>
      <c r="B4638">
        <v>568731</v>
      </c>
      <c r="C4638" s="2" t="str">
        <f>"539BKDC"</f>
        <v>539BKDC</v>
      </c>
      <c r="D4638" t="s">
        <v>4741</v>
      </c>
      <c r="E4638" t="s">
        <v>4</v>
      </c>
      <c r="F4638">
        <v>5</v>
      </c>
      <c r="H4638" t="s">
        <v>5</v>
      </c>
      <c r="I4638" s="1">
        <v>31.98</v>
      </c>
      <c r="J4638" s="1">
        <v>30.38</v>
      </c>
      <c r="K4638" t="s">
        <v>6</v>
      </c>
    </row>
    <row r="4639" spans="1:11">
      <c r="A4639" t="s">
        <v>4732</v>
      </c>
      <c r="B4639">
        <v>426454</v>
      </c>
      <c r="C4639" s="2" t="str">
        <f>"58001R"</f>
        <v>58001R</v>
      </c>
      <c r="D4639" t="s">
        <v>4742</v>
      </c>
      <c r="E4639" t="s">
        <v>4</v>
      </c>
      <c r="F4639">
        <v>9.25</v>
      </c>
      <c r="H4639" t="s">
        <v>5</v>
      </c>
      <c r="I4639" s="1">
        <v>170.37</v>
      </c>
      <c r="J4639" s="1">
        <v>161.85</v>
      </c>
      <c r="K4639" t="s">
        <v>6</v>
      </c>
    </row>
    <row r="4640" spans="1:11">
      <c r="A4640" t="s">
        <v>4732</v>
      </c>
      <c r="B4640">
        <v>426472</v>
      </c>
      <c r="C4640" s="2" t="str">
        <f>"58055R"</f>
        <v>58055R</v>
      </c>
      <c r="D4640" t="s">
        <v>4743</v>
      </c>
      <c r="E4640" t="s">
        <v>4</v>
      </c>
      <c r="F4640">
        <v>6.85</v>
      </c>
      <c r="H4640" t="s">
        <v>5</v>
      </c>
      <c r="I4640" s="1">
        <v>152.88</v>
      </c>
      <c r="J4640" s="1">
        <v>145.24</v>
      </c>
      <c r="K4640" t="s">
        <v>6</v>
      </c>
    </row>
    <row r="4641" spans="1:11">
      <c r="A4641" t="s">
        <v>4732</v>
      </c>
      <c r="B4641">
        <v>426473</v>
      </c>
      <c r="C4641" s="2" t="str">
        <f>"58101R"</f>
        <v>58101R</v>
      </c>
      <c r="D4641" t="s">
        <v>4744</v>
      </c>
      <c r="E4641" t="s">
        <v>4</v>
      </c>
      <c r="F4641">
        <v>9.25</v>
      </c>
      <c r="H4641" t="s">
        <v>5</v>
      </c>
      <c r="I4641" s="1">
        <v>189.93</v>
      </c>
      <c r="J4641" s="1">
        <v>180.43</v>
      </c>
      <c r="K4641" t="s">
        <v>6</v>
      </c>
    </row>
    <row r="4642" spans="1:11">
      <c r="A4642" t="s">
        <v>4732</v>
      </c>
      <c r="B4642">
        <v>426474</v>
      </c>
      <c r="C4642" s="2" t="str">
        <f>"58155R"</f>
        <v>58155R</v>
      </c>
      <c r="D4642" t="s">
        <v>4745</v>
      </c>
      <c r="E4642" t="s">
        <v>4</v>
      </c>
      <c r="F4642">
        <v>6.87</v>
      </c>
      <c r="H4642" t="s">
        <v>5</v>
      </c>
      <c r="I4642" s="1">
        <v>173.68</v>
      </c>
      <c r="J4642" s="1">
        <v>165</v>
      </c>
      <c r="K4642" t="s">
        <v>6</v>
      </c>
    </row>
    <row r="4643" spans="1:11">
      <c r="A4643" t="s">
        <v>4732</v>
      </c>
      <c r="B4643">
        <v>426455</v>
      </c>
      <c r="C4643" s="2" t="str">
        <f>"58230R"</f>
        <v>58230R</v>
      </c>
      <c r="D4643" t="s">
        <v>4746</v>
      </c>
      <c r="E4643" t="s">
        <v>4</v>
      </c>
      <c r="F4643">
        <v>4</v>
      </c>
      <c r="H4643" t="s">
        <v>5</v>
      </c>
      <c r="I4643" s="1">
        <v>84.18</v>
      </c>
      <c r="J4643" s="1">
        <v>79.97</v>
      </c>
      <c r="K4643" t="s">
        <v>6</v>
      </c>
    </row>
    <row r="4644" spans="1:11">
      <c r="A4644" t="s">
        <v>4732</v>
      </c>
      <c r="B4644">
        <v>568726</v>
      </c>
      <c r="C4644" s="2" t="str">
        <f>"6090"</f>
        <v>6090</v>
      </c>
      <c r="D4644" t="s">
        <v>4747</v>
      </c>
      <c r="E4644" t="s">
        <v>4</v>
      </c>
      <c r="F4644">
        <v>4.8</v>
      </c>
      <c r="H4644" t="s">
        <v>5</v>
      </c>
      <c r="I4644" s="1">
        <v>51.48</v>
      </c>
      <c r="J4644" s="1">
        <v>48.91</v>
      </c>
      <c r="K4644" t="s">
        <v>6</v>
      </c>
    </row>
    <row r="4645" spans="1:11">
      <c r="A4645" t="s">
        <v>4732</v>
      </c>
      <c r="B4645">
        <v>568732</v>
      </c>
      <c r="C4645" s="2" t="str">
        <f>"727BK"</f>
        <v>727BK</v>
      </c>
      <c r="D4645" t="s">
        <v>4748</v>
      </c>
      <c r="E4645" t="s">
        <v>4</v>
      </c>
      <c r="F4645">
        <v>5</v>
      </c>
      <c r="H4645" t="s">
        <v>5</v>
      </c>
      <c r="I4645" s="1">
        <v>33.93</v>
      </c>
      <c r="J4645" s="1">
        <v>32.229999999999997</v>
      </c>
      <c r="K4645" t="s">
        <v>6</v>
      </c>
    </row>
    <row r="4646" spans="1:11">
      <c r="A4646" t="s">
        <v>4732</v>
      </c>
      <c r="B4646">
        <v>568733</v>
      </c>
      <c r="C4646" s="2" t="str">
        <f>"8643"</f>
        <v>8643</v>
      </c>
      <c r="D4646" t="s">
        <v>4749</v>
      </c>
      <c r="E4646" t="s">
        <v>4</v>
      </c>
      <c r="F4646">
        <v>5</v>
      </c>
      <c r="H4646" t="s">
        <v>5</v>
      </c>
      <c r="I4646" s="1">
        <v>52.26</v>
      </c>
      <c r="J4646" s="1">
        <v>49.65</v>
      </c>
      <c r="K4646" t="s">
        <v>6</v>
      </c>
    </row>
    <row r="4647" spans="1:11">
      <c r="A4647" t="s">
        <v>4732</v>
      </c>
      <c r="B4647">
        <v>568734</v>
      </c>
      <c r="C4647" s="2" t="str">
        <f>"8645"</f>
        <v>8645</v>
      </c>
      <c r="D4647" t="s">
        <v>4750</v>
      </c>
      <c r="E4647" t="s">
        <v>4</v>
      </c>
      <c r="F4647">
        <v>5</v>
      </c>
      <c r="H4647" t="s">
        <v>5</v>
      </c>
      <c r="I4647" s="1">
        <v>56.55</v>
      </c>
      <c r="J4647" s="1">
        <v>53.72</v>
      </c>
      <c r="K4647" t="s">
        <v>6</v>
      </c>
    </row>
    <row r="4648" spans="1:11">
      <c r="A4648" t="s">
        <v>4732</v>
      </c>
      <c r="B4648">
        <v>568735</v>
      </c>
      <c r="C4648" s="2" t="str">
        <f>"8646"</f>
        <v>8646</v>
      </c>
      <c r="D4648" t="s">
        <v>4751</v>
      </c>
      <c r="E4648" t="s">
        <v>4</v>
      </c>
      <c r="F4648">
        <v>4</v>
      </c>
      <c r="H4648" t="s">
        <v>5</v>
      </c>
      <c r="I4648" s="1">
        <v>44.46</v>
      </c>
      <c r="J4648" s="1">
        <v>42.24</v>
      </c>
      <c r="K4648" t="s">
        <v>6</v>
      </c>
    </row>
    <row r="4649" spans="1:11">
      <c r="A4649" t="s">
        <v>4732</v>
      </c>
      <c r="B4649">
        <v>568737</v>
      </c>
      <c r="C4649" s="2" t="str">
        <f>"900408"</f>
        <v>900408</v>
      </c>
      <c r="D4649" t="s">
        <v>4752</v>
      </c>
      <c r="E4649" t="s">
        <v>4</v>
      </c>
      <c r="F4649">
        <v>5</v>
      </c>
      <c r="H4649" t="s">
        <v>5</v>
      </c>
      <c r="I4649" s="1">
        <v>78.39</v>
      </c>
      <c r="J4649" s="1">
        <v>74.47</v>
      </c>
      <c r="K4649" t="s">
        <v>6</v>
      </c>
    </row>
    <row r="4650" spans="1:11">
      <c r="A4650" t="s">
        <v>4732</v>
      </c>
      <c r="B4650">
        <v>568738</v>
      </c>
      <c r="C4650" s="2" t="str">
        <f>"900410"</f>
        <v>900410</v>
      </c>
      <c r="D4650" t="s">
        <v>4753</v>
      </c>
      <c r="E4650" t="s">
        <v>4</v>
      </c>
      <c r="F4650">
        <v>5</v>
      </c>
      <c r="H4650" t="s">
        <v>5</v>
      </c>
      <c r="I4650" s="1">
        <v>86.19</v>
      </c>
      <c r="J4650" s="1">
        <v>81.88</v>
      </c>
      <c r="K4650" t="s">
        <v>6</v>
      </c>
    </row>
    <row r="4651" spans="1:11">
      <c r="A4651" t="s">
        <v>4732</v>
      </c>
      <c r="B4651">
        <v>568739</v>
      </c>
      <c r="C4651" s="2" t="str">
        <f>"900412"</f>
        <v>900412</v>
      </c>
      <c r="D4651" t="s">
        <v>4754</v>
      </c>
      <c r="E4651" t="s">
        <v>4</v>
      </c>
      <c r="F4651">
        <v>5</v>
      </c>
      <c r="H4651" t="s">
        <v>5</v>
      </c>
      <c r="I4651" s="1">
        <v>102.96</v>
      </c>
      <c r="J4651" s="1">
        <v>97.81</v>
      </c>
      <c r="K4651" t="s">
        <v>6</v>
      </c>
    </row>
    <row r="4652" spans="1:11">
      <c r="A4652" t="s">
        <v>4732</v>
      </c>
      <c r="B4652">
        <v>568744</v>
      </c>
      <c r="C4652" s="2" t="str">
        <f>"900565"</f>
        <v>900565</v>
      </c>
      <c r="D4652" t="s">
        <v>4755</v>
      </c>
      <c r="E4652" t="s">
        <v>4</v>
      </c>
      <c r="F4652">
        <v>5</v>
      </c>
      <c r="H4652" t="s">
        <v>5</v>
      </c>
      <c r="I4652" s="1">
        <v>95.16</v>
      </c>
      <c r="J4652" s="1">
        <v>90.4</v>
      </c>
      <c r="K4652" t="s">
        <v>6</v>
      </c>
    </row>
    <row r="4653" spans="1:11">
      <c r="A4653" t="s">
        <v>4732</v>
      </c>
      <c r="B4653">
        <v>568754</v>
      </c>
      <c r="C4653" s="2" t="str">
        <f>"90152FSS"</f>
        <v>90152FSS</v>
      </c>
      <c r="D4653" t="s">
        <v>4756</v>
      </c>
      <c r="E4653" t="s">
        <v>4</v>
      </c>
      <c r="F4653">
        <v>5</v>
      </c>
      <c r="H4653" t="s">
        <v>5</v>
      </c>
      <c r="I4653" s="1">
        <v>176.67</v>
      </c>
      <c r="J4653" s="1">
        <v>167.84</v>
      </c>
      <c r="K4653" t="s">
        <v>6</v>
      </c>
    </row>
    <row r="4654" spans="1:11">
      <c r="A4654" t="s">
        <v>4732</v>
      </c>
      <c r="B4654">
        <v>568740</v>
      </c>
      <c r="C4654" s="2" t="str">
        <f>"903555"</f>
        <v>903555</v>
      </c>
      <c r="D4654" t="s">
        <v>4757</v>
      </c>
      <c r="E4654" t="s">
        <v>4</v>
      </c>
      <c r="F4654">
        <v>5</v>
      </c>
      <c r="H4654" t="s">
        <v>5</v>
      </c>
      <c r="I4654" s="1">
        <v>309.27</v>
      </c>
      <c r="J4654" s="1">
        <v>293.81</v>
      </c>
      <c r="K4654" t="s">
        <v>6</v>
      </c>
    </row>
    <row r="4655" spans="1:11">
      <c r="A4655" t="s">
        <v>4732</v>
      </c>
      <c r="B4655">
        <v>568746</v>
      </c>
      <c r="C4655" s="2" t="str">
        <f>"904615"</f>
        <v>904615</v>
      </c>
      <c r="D4655" t="s">
        <v>4758</v>
      </c>
      <c r="E4655" t="s">
        <v>4</v>
      </c>
      <c r="F4655">
        <v>5</v>
      </c>
      <c r="H4655" t="s">
        <v>5</v>
      </c>
      <c r="I4655" s="1">
        <v>156</v>
      </c>
      <c r="J4655" s="1">
        <v>148.19999999999999</v>
      </c>
      <c r="K4655" t="s">
        <v>6</v>
      </c>
    </row>
    <row r="4656" spans="1:11">
      <c r="A4656" t="s">
        <v>4732</v>
      </c>
      <c r="B4656">
        <v>568748</v>
      </c>
      <c r="C4656" s="2" t="str">
        <f>"904650"</f>
        <v>904650</v>
      </c>
      <c r="D4656" t="s">
        <v>4759</v>
      </c>
      <c r="E4656" t="s">
        <v>4</v>
      </c>
      <c r="F4656">
        <v>5</v>
      </c>
      <c r="H4656" t="s">
        <v>5</v>
      </c>
      <c r="I4656" s="1">
        <v>170.82</v>
      </c>
      <c r="J4656" s="1">
        <v>162.28</v>
      </c>
      <c r="K4656" t="s">
        <v>6</v>
      </c>
    </row>
    <row r="4657" spans="1:12">
      <c r="A4657" t="s">
        <v>4732</v>
      </c>
      <c r="B4657">
        <v>568747</v>
      </c>
      <c r="C4657" s="2" t="str">
        <f>"904660"</f>
        <v>904660</v>
      </c>
      <c r="D4657" t="s">
        <v>4760</v>
      </c>
      <c r="E4657" t="s">
        <v>4</v>
      </c>
      <c r="F4657">
        <v>5</v>
      </c>
      <c r="H4657" t="s">
        <v>5</v>
      </c>
      <c r="I4657" s="1">
        <v>130.26</v>
      </c>
      <c r="J4657" s="1">
        <v>123.75</v>
      </c>
      <c r="K4657" t="s">
        <v>6</v>
      </c>
    </row>
    <row r="4658" spans="1:12">
      <c r="A4658" t="s">
        <v>4732</v>
      </c>
      <c r="B4658">
        <v>568757</v>
      </c>
      <c r="C4658" s="2" t="str">
        <f>"904850"</f>
        <v>904850</v>
      </c>
      <c r="D4658" t="s">
        <v>4761</v>
      </c>
      <c r="E4658" t="s">
        <v>4</v>
      </c>
      <c r="F4658">
        <v>4</v>
      </c>
      <c r="H4658" t="s">
        <v>5</v>
      </c>
      <c r="I4658" s="1">
        <v>378.3</v>
      </c>
      <c r="J4658" s="1">
        <v>359.39</v>
      </c>
      <c r="K4658" t="s">
        <v>6</v>
      </c>
    </row>
    <row r="4659" spans="1:12">
      <c r="A4659" t="s">
        <v>4732</v>
      </c>
      <c r="B4659">
        <v>568741</v>
      </c>
      <c r="C4659" s="2" t="str">
        <f>"905245"</f>
        <v>905245</v>
      </c>
      <c r="D4659" t="s">
        <v>4762</v>
      </c>
      <c r="E4659" t="s">
        <v>4</v>
      </c>
      <c r="F4659">
        <v>5</v>
      </c>
      <c r="H4659" t="s">
        <v>5</v>
      </c>
      <c r="I4659" s="1">
        <v>206.31</v>
      </c>
      <c r="J4659" s="1">
        <v>195.99</v>
      </c>
      <c r="K4659" t="s">
        <v>6</v>
      </c>
    </row>
    <row r="4660" spans="1:12">
      <c r="A4660" t="s">
        <v>4732</v>
      </c>
      <c r="B4660">
        <v>568742</v>
      </c>
      <c r="C4660" s="2" t="str">
        <f>"905285"</f>
        <v>905285</v>
      </c>
      <c r="D4660" t="s">
        <v>4763</v>
      </c>
      <c r="E4660" t="s">
        <v>4</v>
      </c>
      <c r="F4660">
        <v>8</v>
      </c>
      <c r="H4660" t="s">
        <v>5</v>
      </c>
      <c r="I4660" s="1">
        <v>199.49</v>
      </c>
      <c r="J4660" s="1">
        <v>189.51</v>
      </c>
      <c r="K4660" t="s">
        <v>6</v>
      </c>
    </row>
    <row r="4661" spans="1:12">
      <c r="A4661" t="s">
        <v>4732</v>
      </c>
      <c r="B4661">
        <v>568743</v>
      </c>
      <c r="C4661" s="2" t="str">
        <f>"905525"</f>
        <v>905525</v>
      </c>
      <c r="D4661" t="s">
        <v>4764</v>
      </c>
      <c r="E4661" t="s">
        <v>4</v>
      </c>
      <c r="F4661">
        <v>6</v>
      </c>
      <c r="H4661" t="s">
        <v>5</v>
      </c>
      <c r="I4661" s="1">
        <v>230.49</v>
      </c>
      <c r="J4661" s="1">
        <v>218.97</v>
      </c>
      <c r="K4661" t="s">
        <v>6</v>
      </c>
    </row>
    <row r="4662" spans="1:12">
      <c r="A4662" t="s">
        <v>4732</v>
      </c>
      <c r="B4662">
        <v>568750</v>
      </c>
      <c r="C4662" s="2" t="str">
        <f>"905655"</f>
        <v>905655</v>
      </c>
      <c r="D4662" t="s">
        <v>4765</v>
      </c>
      <c r="E4662" t="s">
        <v>4</v>
      </c>
      <c r="F4662">
        <v>8</v>
      </c>
      <c r="H4662" t="s">
        <v>5</v>
      </c>
      <c r="I4662" s="1">
        <v>61.23</v>
      </c>
      <c r="J4662" s="1">
        <v>58.17</v>
      </c>
      <c r="K4662" t="s">
        <v>6</v>
      </c>
    </row>
    <row r="4663" spans="1:12">
      <c r="A4663" t="s">
        <v>4732</v>
      </c>
      <c r="B4663">
        <v>539079</v>
      </c>
      <c r="C4663" s="2" t="str">
        <f>"908825PB"</f>
        <v>908825PB</v>
      </c>
      <c r="D4663" t="s">
        <v>4766</v>
      </c>
      <c r="E4663" t="s">
        <v>4</v>
      </c>
      <c r="F4663">
        <v>4.2300000000000004</v>
      </c>
      <c r="H4663" t="s">
        <v>5</v>
      </c>
      <c r="I4663" s="1">
        <v>34.520000000000003</v>
      </c>
      <c r="J4663" s="1">
        <v>32.79</v>
      </c>
      <c r="K4663" t="s">
        <v>6</v>
      </c>
    </row>
    <row r="4664" spans="1:12">
      <c r="A4664" t="s">
        <v>4732</v>
      </c>
      <c r="B4664">
        <v>539081</v>
      </c>
      <c r="C4664" s="2" t="str">
        <f>"90883PB"</f>
        <v>90883PB</v>
      </c>
      <c r="D4664" t="s">
        <v>4767</v>
      </c>
      <c r="E4664" t="s">
        <v>4</v>
      </c>
      <c r="F4664">
        <v>4.8</v>
      </c>
      <c r="H4664" t="s">
        <v>5</v>
      </c>
      <c r="I4664" s="1">
        <v>35.17</v>
      </c>
      <c r="J4664" s="1">
        <v>33.409999999999997</v>
      </c>
      <c r="K4664" t="s">
        <v>6</v>
      </c>
    </row>
    <row r="4665" spans="1:12">
      <c r="A4665" t="s">
        <v>4732</v>
      </c>
      <c r="B4665">
        <v>568763</v>
      </c>
      <c r="C4665" s="2" t="str">
        <f>"90SBM1216"</f>
        <v>90SBM1216</v>
      </c>
      <c r="D4665" t="s">
        <v>4768</v>
      </c>
      <c r="E4665" t="s">
        <v>4</v>
      </c>
      <c r="F4665">
        <v>6</v>
      </c>
      <c r="H4665" t="s">
        <v>5</v>
      </c>
      <c r="I4665" s="1">
        <v>154.44</v>
      </c>
      <c r="J4665" s="1">
        <v>146.72</v>
      </c>
      <c r="K4665" t="s">
        <v>6</v>
      </c>
    </row>
    <row r="4666" spans="1:12">
      <c r="A4666" t="s">
        <v>4732</v>
      </c>
      <c r="B4666">
        <v>568764</v>
      </c>
      <c r="C4666" s="2" t="str">
        <f>"90SBM1624"</f>
        <v>90SBM1624</v>
      </c>
      <c r="D4666" t="s">
        <v>4769</v>
      </c>
      <c r="E4666" t="s">
        <v>4</v>
      </c>
      <c r="F4666">
        <v>6</v>
      </c>
      <c r="H4666" t="s">
        <v>5</v>
      </c>
      <c r="I4666" s="1">
        <v>281.58</v>
      </c>
      <c r="J4666" s="1">
        <v>267.5</v>
      </c>
      <c r="K4666" t="s">
        <v>6</v>
      </c>
    </row>
    <row r="4667" spans="1:12">
      <c r="A4667" t="s">
        <v>4732</v>
      </c>
      <c r="B4667">
        <v>568736</v>
      </c>
      <c r="C4667" s="2" t="str">
        <f>"97302"</f>
        <v>97302</v>
      </c>
      <c r="D4667" t="s">
        <v>4770</v>
      </c>
      <c r="E4667" t="s">
        <v>4</v>
      </c>
      <c r="F4667">
        <v>20.85</v>
      </c>
      <c r="H4667" t="s">
        <v>5</v>
      </c>
      <c r="I4667" s="1">
        <v>319.41000000000003</v>
      </c>
      <c r="J4667" s="1">
        <v>303.44</v>
      </c>
      <c r="K4667" t="s">
        <v>6</v>
      </c>
    </row>
    <row r="4668" spans="1:12">
      <c r="A4668" t="s">
        <v>4732</v>
      </c>
      <c r="B4668">
        <v>502146</v>
      </c>
      <c r="C4668" s="2" t="str">
        <f>"FESW"</f>
        <v>FESW</v>
      </c>
      <c r="D4668" t="s">
        <v>4771</v>
      </c>
      <c r="E4668" t="s">
        <v>4</v>
      </c>
      <c r="F4668">
        <v>0.24</v>
      </c>
      <c r="G4668">
        <v>0.04</v>
      </c>
      <c r="H4668" t="s">
        <v>20</v>
      </c>
      <c r="I4668" s="1">
        <v>9.91</v>
      </c>
      <c r="J4668" s="1">
        <v>9.42</v>
      </c>
      <c r="K4668" t="s">
        <v>21</v>
      </c>
      <c r="L4668" s="1">
        <v>10.36</v>
      </c>
    </row>
    <row r="4669" spans="1:12">
      <c r="A4669" t="s">
        <v>4732</v>
      </c>
      <c r="B4669">
        <v>531744</v>
      </c>
      <c r="C4669" s="2" t="str">
        <f>"FK183674CH"</f>
        <v>FK183674CH</v>
      </c>
      <c r="D4669" t="s">
        <v>4772</v>
      </c>
      <c r="E4669" t="s">
        <v>4</v>
      </c>
      <c r="F4669">
        <v>55.5</v>
      </c>
      <c r="H4669" t="s">
        <v>5</v>
      </c>
      <c r="I4669" s="1">
        <v>188.29</v>
      </c>
      <c r="J4669" s="1">
        <v>176.52</v>
      </c>
      <c r="K4669" t="s">
        <v>6</v>
      </c>
    </row>
    <row r="4670" spans="1:12">
      <c r="A4670" t="s">
        <v>4732</v>
      </c>
      <c r="B4670">
        <v>531746</v>
      </c>
      <c r="C4670" s="2" t="str">
        <f>"FK183674GN"</f>
        <v>FK183674GN</v>
      </c>
      <c r="D4670" t="s">
        <v>4773</v>
      </c>
      <c r="E4670" t="s">
        <v>4</v>
      </c>
      <c r="F4670">
        <v>55.5</v>
      </c>
      <c r="H4670" t="s">
        <v>5</v>
      </c>
      <c r="I4670" s="1">
        <v>238.06</v>
      </c>
      <c r="J4670" s="1">
        <v>223.18</v>
      </c>
      <c r="K4670" t="s">
        <v>6</v>
      </c>
    </row>
    <row r="4671" spans="1:12">
      <c r="A4671" t="s">
        <v>4732</v>
      </c>
      <c r="B4671">
        <v>531743</v>
      </c>
      <c r="C4671" s="2" t="str">
        <f>"FK184874CH"</f>
        <v>FK184874CH</v>
      </c>
      <c r="D4671" t="s">
        <v>4772</v>
      </c>
      <c r="E4671" t="s">
        <v>4</v>
      </c>
      <c r="F4671">
        <v>61.4</v>
      </c>
      <c r="H4671" t="s">
        <v>5</v>
      </c>
      <c r="I4671" s="1">
        <v>213.46</v>
      </c>
      <c r="J4671" s="1">
        <v>200.12</v>
      </c>
      <c r="K4671" t="s">
        <v>6</v>
      </c>
    </row>
    <row r="4672" spans="1:12">
      <c r="A4672" t="s">
        <v>4732</v>
      </c>
      <c r="B4672">
        <v>531745</v>
      </c>
      <c r="C4672" s="2" t="str">
        <f>"FK184874GN"</f>
        <v>FK184874GN</v>
      </c>
      <c r="D4672" t="s">
        <v>4773</v>
      </c>
      <c r="E4672" t="s">
        <v>4</v>
      </c>
      <c r="F4672">
        <v>61.4</v>
      </c>
      <c r="H4672" t="s">
        <v>5</v>
      </c>
      <c r="I4672" s="1">
        <v>272.17</v>
      </c>
      <c r="J4672" s="1">
        <v>255.16</v>
      </c>
      <c r="K4672" t="s">
        <v>6</v>
      </c>
    </row>
    <row r="4673" spans="1:11">
      <c r="A4673" t="s">
        <v>4732</v>
      </c>
      <c r="B4673">
        <v>568761</v>
      </c>
      <c r="C4673" s="2" t="str">
        <f>"FSPA1116"</f>
        <v>FSPA1116</v>
      </c>
      <c r="D4673" t="s">
        <v>4774</v>
      </c>
      <c r="E4673" t="s">
        <v>4</v>
      </c>
      <c r="F4673">
        <v>12</v>
      </c>
      <c r="H4673" t="s">
        <v>5</v>
      </c>
      <c r="I4673" s="1">
        <v>91.65</v>
      </c>
      <c r="J4673" s="1">
        <v>87.07</v>
      </c>
      <c r="K4673" t="s">
        <v>6</v>
      </c>
    </row>
    <row r="4674" spans="1:11">
      <c r="A4674" t="s">
        <v>4732</v>
      </c>
      <c r="B4674">
        <v>568759</v>
      </c>
      <c r="C4674" s="2" t="str">
        <f>"FSPA1624"</f>
        <v>FSPA1624</v>
      </c>
      <c r="D4674" t="s">
        <v>4775</v>
      </c>
      <c r="E4674" t="s">
        <v>4</v>
      </c>
      <c r="F4674">
        <v>2</v>
      </c>
      <c r="H4674" t="s">
        <v>5</v>
      </c>
      <c r="I4674" s="1">
        <v>107.64</v>
      </c>
      <c r="J4674" s="1">
        <v>102.26</v>
      </c>
      <c r="K4674" t="s">
        <v>6</v>
      </c>
    </row>
    <row r="4675" spans="1:11">
      <c r="A4675" t="s">
        <v>4732</v>
      </c>
      <c r="B4675">
        <v>568762</v>
      </c>
      <c r="C4675" s="2" t="str">
        <f>"FSPAS811"</f>
        <v>FSPAS811</v>
      </c>
      <c r="D4675" t="s">
        <v>4776</v>
      </c>
      <c r="E4675" t="s">
        <v>4</v>
      </c>
      <c r="F4675">
        <v>6</v>
      </c>
      <c r="H4675" t="s">
        <v>5</v>
      </c>
      <c r="I4675" s="1">
        <v>70.2</v>
      </c>
      <c r="J4675" s="1">
        <v>66.69</v>
      </c>
      <c r="K4675" t="s">
        <v>6</v>
      </c>
    </row>
    <row r="4676" spans="1:11">
      <c r="A4676" t="s">
        <v>4732</v>
      </c>
      <c r="B4676">
        <v>397972</v>
      </c>
      <c r="C4676" s="2" t="str">
        <f>"K1301A"</f>
        <v>K1301A</v>
      </c>
      <c r="D4676" t="s">
        <v>4777</v>
      </c>
      <c r="E4676" t="s">
        <v>4</v>
      </c>
      <c r="F4676">
        <v>15.5</v>
      </c>
      <c r="H4676" t="s">
        <v>5</v>
      </c>
      <c r="I4676" s="1">
        <v>254.54</v>
      </c>
      <c r="J4676" s="1">
        <v>241.81</v>
      </c>
      <c r="K4676" t="s">
        <v>6</v>
      </c>
    </row>
    <row r="4677" spans="1:11">
      <c r="A4677" t="s">
        <v>4732</v>
      </c>
      <c r="B4677">
        <v>397971</v>
      </c>
      <c r="C4677" s="2" t="str">
        <f>"K1355A"</f>
        <v>K1355A</v>
      </c>
      <c r="D4677" t="s">
        <v>4778</v>
      </c>
      <c r="E4677" t="s">
        <v>4</v>
      </c>
      <c r="F4677">
        <v>10.1</v>
      </c>
      <c r="H4677" t="s">
        <v>5</v>
      </c>
      <c r="I4677" s="1">
        <v>195.91</v>
      </c>
      <c r="J4677" s="1">
        <v>186.11</v>
      </c>
      <c r="K4677" t="s">
        <v>6</v>
      </c>
    </row>
    <row r="4678" spans="1:11">
      <c r="A4678" t="s">
        <v>4732</v>
      </c>
      <c r="B4678">
        <v>423178</v>
      </c>
      <c r="C4678" s="2" t="str">
        <f>"KPW9101"</f>
        <v>KPW9101</v>
      </c>
      <c r="D4678" t="s">
        <v>4779</v>
      </c>
      <c r="E4678" t="s">
        <v>4</v>
      </c>
      <c r="F4678">
        <v>2.25</v>
      </c>
      <c r="H4678" t="s">
        <v>5</v>
      </c>
      <c r="I4678" s="1">
        <v>28.28</v>
      </c>
      <c r="J4678" s="1">
        <v>26.86</v>
      </c>
      <c r="K4678" t="s">
        <v>6</v>
      </c>
    </row>
    <row r="4679" spans="1:11">
      <c r="A4679" t="s">
        <v>4732</v>
      </c>
      <c r="B4679">
        <v>482557</v>
      </c>
      <c r="C4679" s="2" t="str">
        <f>"KPW9111"</f>
        <v>KPW9111</v>
      </c>
      <c r="D4679" t="s">
        <v>4780</v>
      </c>
      <c r="E4679" t="s">
        <v>4</v>
      </c>
      <c r="F4679">
        <v>1.73</v>
      </c>
      <c r="H4679" t="s">
        <v>5</v>
      </c>
      <c r="I4679" s="1">
        <v>24.05</v>
      </c>
      <c r="J4679" s="1">
        <v>22.85</v>
      </c>
      <c r="K4679" t="s">
        <v>6</v>
      </c>
    </row>
    <row r="4680" spans="1:11">
      <c r="A4680" t="s">
        <v>4732</v>
      </c>
      <c r="B4680">
        <v>482558</v>
      </c>
      <c r="C4680" s="2" t="str">
        <f>"KPW9112"</f>
        <v>KPW9112</v>
      </c>
      <c r="D4680" t="s">
        <v>4781</v>
      </c>
      <c r="E4680" t="s">
        <v>4</v>
      </c>
      <c r="F4680">
        <v>1.98</v>
      </c>
      <c r="H4680" t="s">
        <v>5</v>
      </c>
      <c r="I4680" s="1">
        <v>25.48</v>
      </c>
      <c r="J4680" s="1">
        <v>24.21</v>
      </c>
      <c r="K4680" t="s">
        <v>6</v>
      </c>
    </row>
    <row r="4681" spans="1:11">
      <c r="A4681" t="s">
        <v>4732</v>
      </c>
      <c r="B4681">
        <v>482559</v>
      </c>
      <c r="C4681" s="2" t="str">
        <f>"KPW9113"</f>
        <v>KPW9113</v>
      </c>
      <c r="D4681" t="s">
        <v>4782</v>
      </c>
      <c r="E4681" t="s">
        <v>4</v>
      </c>
      <c r="F4681">
        <v>2.4900000000000002</v>
      </c>
      <c r="H4681" t="s">
        <v>5</v>
      </c>
      <c r="I4681" s="1">
        <v>27.63</v>
      </c>
      <c r="J4681" s="1">
        <v>26.24</v>
      </c>
      <c r="K4681" t="s">
        <v>6</v>
      </c>
    </row>
    <row r="4682" spans="1:11">
      <c r="A4682" t="s">
        <v>4732</v>
      </c>
      <c r="B4682">
        <v>504134</v>
      </c>
      <c r="C4682" s="2" t="str">
        <f>"KPW9325PB"</f>
        <v>KPW9325PB</v>
      </c>
      <c r="D4682" t="s">
        <v>4783</v>
      </c>
      <c r="E4682" t="s">
        <v>4</v>
      </c>
      <c r="F4682">
        <v>4.2300000000000004</v>
      </c>
      <c r="H4682" t="s">
        <v>5</v>
      </c>
      <c r="I4682" s="1">
        <v>40.44</v>
      </c>
      <c r="J4682" s="1">
        <v>38.42</v>
      </c>
      <c r="K4682" t="s">
        <v>6</v>
      </c>
    </row>
    <row r="4683" spans="1:11">
      <c r="A4683" t="s">
        <v>4784</v>
      </c>
      <c r="B4683">
        <v>366161</v>
      </c>
      <c r="C4683" s="2" t="str">
        <f>"613"</f>
        <v>613</v>
      </c>
      <c r="D4683" t="s">
        <v>4785</v>
      </c>
      <c r="E4683" t="s">
        <v>4</v>
      </c>
      <c r="F4683">
        <v>11.78</v>
      </c>
      <c r="H4683" t="s">
        <v>5</v>
      </c>
      <c r="I4683" s="1">
        <v>62.13</v>
      </c>
      <c r="J4683" s="1">
        <v>60.72</v>
      </c>
      <c r="K4683" t="s">
        <v>6</v>
      </c>
    </row>
    <row r="4684" spans="1:11">
      <c r="A4684" t="s">
        <v>4784</v>
      </c>
      <c r="B4684">
        <v>359224</v>
      </c>
      <c r="C4684" s="2" t="str">
        <f>"614"</f>
        <v>614</v>
      </c>
      <c r="D4684" t="s">
        <v>4786</v>
      </c>
      <c r="E4684" t="s">
        <v>4</v>
      </c>
      <c r="F4684">
        <v>7.44</v>
      </c>
      <c r="H4684" t="s">
        <v>5</v>
      </c>
      <c r="I4684" s="1">
        <v>45.38</v>
      </c>
      <c r="J4684" s="1">
        <v>44.49</v>
      </c>
      <c r="K4684" t="s">
        <v>6</v>
      </c>
    </row>
    <row r="4685" spans="1:11">
      <c r="A4685" t="s">
        <v>4784</v>
      </c>
      <c r="B4685">
        <v>359226</v>
      </c>
      <c r="C4685" s="2" t="str">
        <f>"615"</f>
        <v>615</v>
      </c>
      <c r="D4685" t="s">
        <v>4787</v>
      </c>
      <c r="E4685" t="s">
        <v>4</v>
      </c>
      <c r="F4685">
        <v>13.9</v>
      </c>
      <c r="H4685" t="s">
        <v>5</v>
      </c>
      <c r="I4685" s="1">
        <v>86.68</v>
      </c>
      <c r="J4685" s="1">
        <v>85.02</v>
      </c>
      <c r="K4685" t="s">
        <v>6</v>
      </c>
    </row>
    <row r="4686" spans="1:11">
      <c r="A4686" t="s">
        <v>4784</v>
      </c>
      <c r="B4686">
        <v>405662</v>
      </c>
      <c r="C4686" s="2" t="str">
        <f>"615M"</f>
        <v>615M</v>
      </c>
      <c r="D4686" t="s">
        <v>4788</v>
      </c>
      <c r="E4686" t="s">
        <v>4</v>
      </c>
      <c r="F4686">
        <v>12.63</v>
      </c>
      <c r="H4686" t="s">
        <v>5</v>
      </c>
      <c r="I4686" s="1">
        <v>73.55</v>
      </c>
      <c r="J4686" s="1">
        <v>72.040000000000006</v>
      </c>
      <c r="K4686" t="s">
        <v>6</v>
      </c>
    </row>
    <row r="4687" spans="1:11">
      <c r="A4687" t="s">
        <v>4784</v>
      </c>
      <c r="B4687">
        <v>359229</v>
      </c>
      <c r="C4687" s="2" t="str">
        <f>"624"</f>
        <v>624</v>
      </c>
      <c r="D4687" t="s">
        <v>4789</v>
      </c>
      <c r="E4687" t="s">
        <v>4</v>
      </c>
      <c r="F4687">
        <v>10.4</v>
      </c>
      <c r="H4687" t="s">
        <v>5</v>
      </c>
      <c r="I4687" s="1">
        <v>60.16</v>
      </c>
      <c r="J4687" s="1">
        <v>58.91</v>
      </c>
      <c r="K4687" t="s">
        <v>6</v>
      </c>
    </row>
    <row r="4688" spans="1:11">
      <c r="A4688" t="s">
        <v>4784</v>
      </c>
      <c r="B4688">
        <v>359231</v>
      </c>
      <c r="C4688" s="2" t="str">
        <f>"625"</f>
        <v>625</v>
      </c>
      <c r="D4688" t="s">
        <v>4790</v>
      </c>
      <c r="E4688" t="s">
        <v>4</v>
      </c>
      <c r="F4688">
        <v>19.98</v>
      </c>
      <c r="H4688" t="s">
        <v>5</v>
      </c>
      <c r="I4688" s="1">
        <v>118.49</v>
      </c>
      <c r="J4688" s="1">
        <v>116.1</v>
      </c>
      <c r="K4688" t="s">
        <v>6</v>
      </c>
    </row>
    <row r="4689" spans="1:11">
      <c r="A4689" t="s">
        <v>4784</v>
      </c>
      <c r="B4689">
        <v>359233</v>
      </c>
      <c r="C4689" s="2" t="str">
        <f>"627"</f>
        <v>627</v>
      </c>
      <c r="D4689" t="s">
        <v>4791</v>
      </c>
      <c r="E4689" t="s">
        <v>4</v>
      </c>
      <c r="F4689">
        <v>26.8</v>
      </c>
      <c r="H4689" t="s">
        <v>5</v>
      </c>
      <c r="I4689" s="1">
        <v>206.01</v>
      </c>
      <c r="J4689" s="1">
        <v>202.81</v>
      </c>
      <c r="K4689" t="s">
        <v>6</v>
      </c>
    </row>
    <row r="4690" spans="1:11">
      <c r="A4690" t="s">
        <v>4784</v>
      </c>
      <c r="B4690">
        <v>359246</v>
      </c>
      <c r="C4690" s="2" t="str">
        <f>"711"</f>
        <v>711</v>
      </c>
      <c r="D4690" t="s">
        <v>4792</v>
      </c>
      <c r="E4690" t="s">
        <v>4</v>
      </c>
      <c r="F4690">
        <v>15.9</v>
      </c>
      <c r="H4690" t="s">
        <v>5</v>
      </c>
      <c r="I4690" s="1">
        <v>103.15</v>
      </c>
      <c r="J4690" s="1">
        <v>101.24</v>
      </c>
      <c r="K4690" t="s">
        <v>6</v>
      </c>
    </row>
    <row r="4691" spans="1:11">
      <c r="A4691" t="s">
        <v>4784</v>
      </c>
      <c r="B4691">
        <v>359250</v>
      </c>
      <c r="C4691" s="2" t="str">
        <f>"712"</f>
        <v>712</v>
      </c>
      <c r="D4691" t="s">
        <v>4793</v>
      </c>
      <c r="E4691" t="s">
        <v>4</v>
      </c>
      <c r="F4691">
        <v>14.3</v>
      </c>
      <c r="H4691" t="s">
        <v>5</v>
      </c>
      <c r="I4691" s="1">
        <v>162.41</v>
      </c>
      <c r="J4691" s="1">
        <v>160.69999999999999</v>
      </c>
      <c r="K4691" t="s">
        <v>6</v>
      </c>
    </row>
    <row r="4692" spans="1:11">
      <c r="A4692" t="s">
        <v>4784</v>
      </c>
      <c r="B4692">
        <v>359248</v>
      </c>
      <c r="C4692" s="2" t="str">
        <f>"721"</f>
        <v>721</v>
      </c>
      <c r="D4692" t="s">
        <v>4794</v>
      </c>
      <c r="E4692" t="s">
        <v>4</v>
      </c>
      <c r="F4692">
        <v>26</v>
      </c>
      <c r="H4692" t="s">
        <v>5</v>
      </c>
      <c r="I4692" s="1">
        <v>151.52000000000001</v>
      </c>
      <c r="J4692" s="1">
        <v>148.41</v>
      </c>
      <c r="K4692" t="s">
        <v>6</v>
      </c>
    </row>
    <row r="4693" spans="1:11">
      <c r="A4693" t="s">
        <v>4784</v>
      </c>
      <c r="B4693">
        <v>509832</v>
      </c>
      <c r="C4693" s="2" t="str">
        <f>"721R"</f>
        <v>721R</v>
      </c>
      <c r="D4693" t="s">
        <v>4795</v>
      </c>
      <c r="E4693" t="s">
        <v>4</v>
      </c>
      <c r="F4693">
        <v>26</v>
      </c>
      <c r="H4693" t="s">
        <v>5</v>
      </c>
      <c r="I4693" s="1">
        <v>66</v>
      </c>
      <c r="J4693" s="1">
        <v>66</v>
      </c>
      <c r="K4693" t="s">
        <v>6</v>
      </c>
    </row>
    <row r="4694" spans="1:11">
      <c r="A4694" t="s">
        <v>4784</v>
      </c>
      <c r="B4694">
        <v>359254</v>
      </c>
      <c r="C4694" s="2" t="str">
        <f>"7511"</f>
        <v>7511</v>
      </c>
      <c r="D4694" t="s">
        <v>4796</v>
      </c>
      <c r="E4694" t="s">
        <v>4</v>
      </c>
      <c r="F4694">
        <v>22.4</v>
      </c>
      <c r="H4694" t="s">
        <v>5</v>
      </c>
      <c r="I4694" s="1">
        <v>156.52000000000001</v>
      </c>
      <c r="J4694" s="1">
        <v>153.84</v>
      </c>
      <c r="K4694" t="s">
        <v>6</v>
      </c>
    </row>
    <row r="4695" spans="1:11">
      <c r="A4695" t="s">
        <v>4784</v>
      </c>
      <c r="B4695">
        <v>359255</v>
      </c>
      <c r="C4695" s="2" t="str">
        <f>"7512"</f>
        <v>7512</v>
      </c>
      <c r="D4695" t="s">
        <v>4797</v>
      </c>
      <c r="E4695" t="s">
        <v>4</v>
      </c>
      <c r="F4695">
        <v>22.4</v>
      </c>
      <c r="H4695" t="s">
        <v>5</v>
      </c>
      <c r="I4695" s="1">
        <v>156.52000000000001</v>
      </c>
      <c r="J4695" s="1">
        <v>153.84</v>
      </c>
      <c r="K4695" t="s">
        <v>6</v>
      </c>
    </row>
    <row r="4696" spans="1:11">
      <c r="A4696" t="s">
        <v>4784</v>
      </c>
      <c r="B4696">
        <v>360209</v>
      </c>
      <c r="C4696" s="2" t="str">
        <f>"7513"</f>
        <v>7513</v>
      </c>
      <c r="D4696" t="s">
        <v>4798</v>
      </c>
      <c r="E4696" t="s">
        <v>4</v>
      </c>
      <c r="F4696">
        <v>22.4</v>
      </c>
      <c r="H4696" t="s">
        <v>5</v>
      </c>
      <c r="I4696" s="1">
        <v>156.52000000000001</v>
      </c>
      <c r="J4696" s="1">
        <v>153.84</v>
      </c>
      <c r="K4696" t="s">
        <v>6</v>
      </c>
    </row>
    <row r="4697" spans="1:11">
      <c r="A4697" t="s">
        <v>4784</v>
      </c>
      <c r="B4697">
        <v>359252</v>
      </c>
      <c r="C4697" s="2" t="str">
        <f>"7524"</f>
        <v>7524</v>
      </c>
      <c r="D4697" t="s">
        <v>4799</v>
      </c>
      <c r="E4697" t="s">
        <v>4</v>
      </c>
      <c r="F4697">
        <v>23.15</v>
      </c>
      <c r="H4697" t="s">
        <v>5</v>
      </c>
      <c r="I4697" s="1">
        <v>191.68</v>
      </c>
      <c r="J4697" s="1">
        <v>188.92</v>
      </c>
      <c r="K4697" t="s">
        <v>6</v>
      </c>
    </row>
    <row r="4698" spans="1:11">
      <c r="A4698" t="s">
        <v>4784</v>
      </c>
      <c r="B4698">
        <v>359253</v>
      </c>
      <c r="C4698" s="2" t="str">
        <f>"7534"</f>
        <v>7534</v>
      </c>
      <c r="D4698" t="s">
        <v>4800</v>
      </c>
      <c r="E4698" t="s">
        <v>4</v>
      </c>
      <c r="F4698">
        <v>14.8</v>
      </c>
      <c r="H4698" t="s">
        <v>5</v>
      </c>
      <c r="I4698" s="1">
        <v>91.53</v>
      </c>
      <c r="J4698" s="1">
        <v>89.76</v>
      </c>
      <c r="K4698" t="s">
        <v>6</v>
      </c>
    </row>
    <row r="4699" spans="1:11">
      <c r="A4699" t="s">
        <v>4784</v>
      </c>
      <c r="B4699">
        <v>359259</v>
      </c>
      <c r="C4699" s="2" t="str">
        <f>"7950"</f>
        <v>7950</v>
      </c>
      <c r="D4699" t="s">
        <v>4801</v>
      </c>
      <c r="E4699" t="s">
        <v>4</v>
      </c>
      <c r="F4699">
        <v>40</v>
      </c>
      <c r="H4699" t="s">
        <v>5</v>
      </c>
      <c r="I4699" s="1">
        <v>102.48</v>
      </c>
      <c r="J4699" s="1">
        <v>97.7</v>
      </c>
      <c r="K4699" t="s">
        <v>6</v>
      </c>
    </row>
    <row r="4700" spans="1:11">
      <c r="A4700" t="s">
        <v>4784</v>
      </c>
      <c r="B4700">
        <v>360128</v>
      </c>
      <c r="C4700" s="2" t="str">
        <f>"7955"</f>
        <v>7955</v>
      </c>
      <c r="D4700" t="s">
        <v>4802</v>
      </c>
      <c r="E4700" t="s">
        <v>4</v>
      </c>
      <c r="F4700">
        <v>12</v>
      </c>
      <c r="H4700" t="s">
        <v>5</v>
      </c>
      <c r="I4700" s="1">
        <v>37.47</v>
      </c>
      <c r="J4700" s="1">
        <v>36.04</v>
      </c>
      <c r="K4700" t="s">
        <v>6</v>
      </c>
    </row>
    <row r="4701" spans="1:11">
      <c r="A4701" t="s">
        <v>4784</v>
      </c>
      <c r="B4701">
        <v>359225</v>
      </c>
      <c r="C4701" s="2" t="str">
        <f>"904"</f>
        <v>904</v>
      </c>
      <c r="D4701" t="s">
        <v>4803</v>
      </c>
      <c r="E4701" t="s">
        <v>4</v>
      </c>
      <c r="F4701">
        <v>6.26</v>
      </c>
      <c r="H4701" t="s">
        <v>5</v>
      </c>
      <c r="I4701" s="1">
        <v>23.78</v>
      </c>
      <c r="J4701" s="1">
        <v>23.03</v>
      </c>
      <c r="K4701" t="s">
        <v>6</v>
      </c>
    </row>
    <row r="4702" spans="1:11">
      <c r="A4702" t="s">
        <v>4784</v>
      </c>
      <c r="B4702">
        <v>360046</v>
      </c>
      <c r="C4702" s="2" t="str">
        <f>"905"</f>
        <v>905</v>
      </c>
      <c r="D4702" t="s">
        <v>4804</v>
      </c>
      <c r="E4702" t="s">
        <v>4</v>
      </c>
      <c r="F4702">
        <v>9.36</v>
      </c>
      <c r="H4702" t="s">
        <v>5</v>
      </c>
      <c r="I4702" s="1">
        <v>42.34</v>
      </c>
      <c r="J4702" s="1">
        <v>41.22</v>
      </c>
      <c r="K4702" t="s">
        <v>6</v>
      </c>
    </row>
    <row r="4703" spans="1:11">
      <c r="A4703" t="s">
        <v>4784</v>
      </c>
      <c r="B4703">
        <v>359228</v>
      </c>
      <c r="C4703" s="2" t="str">
        <f>"910"</f>
        <v>910</v>
      </c>
      <c r="D4703" t="s">
        <v>4805</v>
      </c>
      <c r="E4703" t="s">
        <v>4</v>
      </c>
      <c r="F4703">
        <v>6.66</v>
      </c>
      <c r="H4703" t="s">
        <v>5</v>
      </c>
      <c r="I4703" s="1">
        <v>24.72</v>
      </c>
      <c r="J4703" s="1">
        <v>23.93</v>
      </c>
      <c r="K4703" t="s">
        <v>6</v>
      </c>
    </row>
    <row r="4704" spans="1:11">
      <c r="A4704" t="s">
        <v>4784</v>
      </c>
      <c r="B4704">
        <v>359311</v>
      </c>
      <c r="C4704" s="2" t="str">
        <f>"910CG"</f>
        <v>910CG</v>
      </c>
      <c r="D4704" t="s">
        <v>4806</v>
      </c>
      <c r="E4704" t="s">
        <v>4</v>
      </c>
      <c r="F4704">
        <v>6.66</v>
      </c>
      <c r="H4704" t="s">
        <v>5</v>
      </c>
      <c r="I4704" s="1">
        <v>27.87</v>
      </c>
      <c r="J4704" s="1">
        <v>27.07</v>
      </c>
      <c r="K4704" t="s">
        <v>6</v>
      </c>
    </row>
    <row r="4705" spans="1:11">
      <c r="A4705" t="s">
        <v>4784</v>
      </c>
      <c r="B4705">
        <v>359232</v>
      </c>
      <c r="C4705" s="2" t="str">
        <f>"914"</f>
        <v>914</v>
      </c>
      <c r="D4705" t="s">
        <v>4807</v>
      </c>
      <c r="E4705" t="s">
        <v>4</v>
      </c>
      <c r="F4705">
        <v>9.9600000000000009</v>
      </c>
      <c r="H4705" t="s">
        <v>5</v>
      </c>
      <c r="I4705" s="1">
        <v>34.909999999999997</v>
      </c>
      <c r="J4705" s="1">
        <v>33.72</v>
      </c>
      <c r="K4705" t="s">
        <v>6</v>
      </c>
    </row>
    <row r="4706" spans="1:11">
      <c r="A4706" t="s">
        <v>4784</v>
      </c>
      <c r="B4706">
        <v>359310</v>
      </c>
      <c r="C4706" s="2" t="str">
        <f>"914CG"</f>
        <v>914CG</v>
      </c>
      <c r="D4706" t="s">
        <v>4808</v>
      </c>
      <c r="E4706" t="s">
        <v>4</v>
      </c>
      <c r="F4706">
        <v>9.9600000000000009</v>
      </c>
      <c r="H4706" t="s">
        <v>5</v>
      </c>
      <c r="I4706" s="1">
        <v>37.65</v>
      </c>
      <c r="J4706" s="1">
        <v>36.46</v>
      </c>
      <c r="K4706" t="s">
        <v>6</v>
      </c>
    </row>
    <row r="4707" spans="1:11">
      <c r="A4707" t="s">
        <v>4784</v>
      </c>
      <c r="B4707">
        <v>426233</v>
      </c>
      <c r="C4707" s="2" t="str">
        <f>"914SC"</f>
        <v>914SC</v>
      </c>
      <c r="D4707" t="s">
        <v>4809</v>
      </c>
      <c r="E4707" t="s">
        <v>4</v>
      </c>
      <c r="F4707">
        <v>10.18</v>
      </c>
      <c r="H4707" t="s">
        <v>5</v>
      </c>
      <c r="I4707" s="1">
        <v>35.06</v>
      </c>
      <c r="J4707" s="1">
        <v>33.840000000000003</v>
      </c>
      <c r="K4707" t="s">
        <v>6</v>
      </c>
    </row>
    <row r="4708" spans="1:11">
      <c r="A4708" t="s">
        <v>4784</v>
      </c>
      <c r="B4708">
        <v>359234</v>
      </c>
      <c r="C4708" s="2" t="str">
        <f>"916"</f>
        <v>916</v>
      </c>
      <c r="D4708" t="s">
        <v>4810</v>
      </c>
      <c r="E4708" t="s">
        <v>4</v>
      </c>
      <c r="F4708">
        <v>14.11</v>
      </c>
      <c r="H4708" t="s">
        <v>5</v>
      </c>
      <c r="I4708" s="1">
        <v>46.23</v>
      </c>
      <c r="J4708" s="1">
        <v>44.54</v>
      </c>
      <c r="K4708" t="s">
        <v>6</v>
      </c>
    </row>
    <row r="4709" spans="1:11">
      <c r="A4709" t="s">
        <v>4784</v>
      </c>
      <c r="B4709">
        <v>360248</v>
      </c>
      <c r="C4709" s="2" t="str">
        <f>"964"</f>
        <v>964</v>
      </c>
      <c r="D4709" t="s">
        <v>4811</v>
      </c>
      <c r="E4709" t="s">
        <v>4</v>
      </c>
      <c r="F4709">
        <v>4.8</v>
      </c>
      <c r="H4709" t="s">
        <v>5</v>
      </c>
      <c r="I4709" s="1">
        <v>58.08</v>
      </c>
      <c r="J4709" s="1">
        <v>57.51</v>
      </c>
      <c r="K4709" t="s">
        <v>6</v>
      </c>
    </row>
    <row r="4710" spans="1:11">
      <c r="A4710" t="s">
        <v>4784</v>
      </c>
      <c r="B4710">
        <v>359238</v>
      </c>
      <c r="C4710" s="2" t="str">
        <f>"997"</f>
        <v>997</v>
      </c>
      <c r="D4710" t="s">
        <v>4812</v>
      </c>
      <c r="E4710" t="s">
        <v>4</v>
      </c>
      <c r="F4710">
        <v>24.93</v>
      </c>
      <c r="H4710" t="s">
        <v>5</v>
      </c>
      <c r="I4710" s="1">
        <v>64.94</v>
      </c>
      <c r="J4710" s="1">
        <v>64.94</v>
      </c>
      <c r="K4710" t="s">
        <v>6</v>
      </c>
    </row>
    <row r="4711" spans="1:11">
      <c r="A4711" t="s">
        <v>4784</v>
      </c>
      <c r="B4711">
        <v>474647</v>
      </c>
      <c r="C4711" s="2" t="str">
        <f>"FC225X600"</f>
        <v>FC225X600</v>
      </c>
      <c r="D4711" t="s">
        <v>4813</v>
      </c>
      <c r="E4711" t="s">
        <v>4</v>
      </c>
      <c r="F4711">
        <v>20</v>
      </c>
      <c r="H4711" t="s">
        <v>5</v>
      </c>
      <c r="I4711" s="1">
        <v>89.74</v>
      </c>
      <c r="J4711" s="1">
        <v>87.35</v>
      </c>
      <c r="K4711" t="s">
        <v>6</v>
      </c>
    </row>
    <row r="4712" spans="1:11">
      <c r="A4712" t="s">
        <v>4784</v>
      </c>
      <c r="B4712">
        <v>360050</v>
      </c>
      <c r="C4712" s="2" t="str">
        <f>"R4296"</f>
        <v>R4296</v>
      </c>
      <c r="D4712" t="s">
        <v>4814</v>
      </c>
      <c r="E4712" t="s">
        <v>4</v>
      </c>
      <c r="F4712">
        <v>10</v>
      </c>
      <c r="H4712" t="s">
        <v>5</v>
      </c>
      <c r="I4712" s="1">
        <v>74.45</v>
      </c>
      <c r="J4712" s="1">
        <v>73.260000000000005</v>
      </c>
      <c r="K4712" t="s">
        <v>6</v>
      </c>
    </row>
    <row r="4713" spans="1:11">
      <c r="A4713" t="s">
        <v>4784</v>
      </c>
      <c r="B4713">
        <v>361917</v>
      </c>
      <c r="C4713" s="2" t="str">
        <f>"RF1011"</f>
        <v>RF1011</v>
      </c>
      <c r="D4713" t="s">
        <v>4815</v>
      </c>
      <c r="E4713" t="s">
        <v>4</v>
      </c>
      <c r="F4713">
        <v>7.02</v>
      </c>
      <c r="H4713" t="s">
        <v>5</v>
      </c>
      <c r="I4713" s="1">
        <v>26.41</v>
      </c>
      <c r="J4713" s="1">
        <v>25.57</v>
      </c>
      <c r="K4713" t="s">
        <v>6</v>
      </c>
    </row>
    <row r="4714" spans="1:11">
      <c r="A4714" t="s">
        <v>4784</v>
      </c>
      <c r="B4714">
        <v>361501</v>
      </c>
      <c r="C4714" s="2" t="str">
        <f>"RF2011"</f>
        <v>RF2011</v>
      </c>
      <c r="D4714" t="s">
        <v>4816</v>
      </c>
      <c r="E4714" t="s">
        <v>4</v>
      </c>
      <c r="F4714">
        <v>4.7</v>
      </c>
      <c r="H4714" t="s">
        <v>5</v>
      </c>
      <c r="I4714" s="1">
        <v>26.17</v>
      </c>
      <c r="J4714" s="1">
        <v>25.61</v>
      </c>
      <c r="K4714" t="s">
        <v>6</v>
      </c>
    </row>
    <row r="4715" spans="1:11">
      <c r="A4715" t="s">
        <v>4784</v>
      </c>
      <c r="B4715">
        <v>359308</v>
      </c>
      <c r="C4715" s="2" t="str">
        <f>"RF68"</f>
        <v>RF68</v>
      </c>
      <c r="D4715" t="s">
        <v>4817</v>
      </c>
      <c r="E4715" t="s">
        <v>4</v>
      </c>
      <c r="F4715">
        <v>5.5</v>
      </c>
      <c r="H4715" t="s">
        <v>5</v>
      </c>
      <c r="I4715" s="1">
        <v>32.729999999999997</v>
      </c>
      <c r="J4715" s="1">
        <v>32.07</v>
      </c>
      <c r="K4715" t="s">
        <v>6</v>
      </c>
    </row>
    <row r="4716" spans="1:11">
      <c r="A4716" t="s">
        <v>4784</v>
      </c>
      <c r="B4716">
        <v>361502</v>
      </c>
      <c r="C4716" s="2" t="str">
        <f>"RS2011"</f>
        <v>RS2011</v>
      </c>
      <c r="D4716" t="s">
        <v>4818</v>
      </c>
      <c r="E4716" t="s">
        <v>4</v>
      </c>
      <c r="F4716">
        <v>4.7300000000000004</v>
      </c>
      <c r="H4716" t="s">
        <v>5</v>
      </c>
      <c r="I4716" s="1">
        <v>21.26</v>
      </c>
      <c r="J4716" s="1">
        <v>20.69</v>
      </c>
      <c r="K4716" t="s">
        <v>6</v>
      </c>
    </row>
    <row r="4717" spans="1:11">
      <c r="A4717" t="s">
        <v>4784</v>
      </c>
      <c r="B4717">
        <v>389719</v>
      </c>
      <c r="C4717" s="2" t="str">
        <f>"RS63"</f>
        <v>RS63</v>
      </c>
      <c r="D4717" t="s">
        <v>4819</v>
      </c>
      <c r="E4717" t="s">
        <v>4</v>
      </c>
      <c r="F4717">
        <v>2.9</v>
      </c>
      <c r="H4717" t="s">
        <v>5</v>
      </c>
      <c r="I4717" s="1">
        <v>19.27</v>
      </c>
      <c r="J4717" s="1">
        <v>18.920000000000002</v>
      </c>
      <c r="K4717" t="s">
        <v>6</v>
      </c>
    </row>
    <row r="4718" spans="1:11">
      <c r="A4718" t="s">
        <v>4784</v>
      </c>
      <c r="B4718">
        <v>359305</v>
      </c>
      <c r="C4718" s="2" t="str">
        <f>"RS65"</f>
        <v>RS65</v>
      </c>
      <c r="D4718" t="s">
        <v>4820</v>
      </c>
      <c r="E4718" t="s">
        <v>4</v>
      </c>
      <c r="F4718">
        <v>4.25</v>
      </c>
      <c r="H4718" t="s">
        <v>5</v>
      </c>
      <c r="I4718" s="1">
        <v>19.57</v>
      </c>
      <c r="J4718" s="1">
        <v>19.059999999999999</v>
      </c>
      <c r="K4718" t="s">
        <v>6</v>
      </c>
    </row>
    <row r="4719" spans="1:11">
      <c r="A4719" t="s">
        <v>4784</v>
      </c>
      <c r="B4719">
        <v>360542</v>
      </c>
      <c r="C4719" s="2" t="str">
        <f>"RT1014"</f>
        <v>RT1014</v>
      </c>
      <c r="D4719" t="s">
        <v>4821</v>
      </c>
      <c r="E4719" t="s">
        <v>4</v>
      </c>
      <c r="F4719">
        <v>5.75</v>
      </c>
      <c r="H4719" t="s">
        <v>5</v>
      </c>
      <c r="I4719" s="1">
        <v>27.37</v>
      </c>
      <c r="J4719" s="1">
        <v>26.68</v>
      </c>
      <c r="K4719" t="s">
        <v>6</v>
      </c>
    </row>
    <row r="4720" spans="1:11">
      <c r="A4720" t="s">
        <v>4784</v>
      </c>
      <c r="B4720">
        <v>360705</v>
      </c>
      <c r="C4720" s="2" t="str">
        <f>"RT1824"</f>
        <v>RT1824</v>
      </c>
      <c r="D4720" t="s">
        <v>4822</v>
      </c>
      <c r="E4720" t="s">
        <v>4</v>
      </c>
      <c r="F4720">
        <v>8.25</v>
      </c>
      <c r="H4720" t="s">
        <v>5</v>
      </c>
      <c r="I4720" s="1">
        <v>40.82</v>
      </c>
      <c r="J4720" s="1">
        <v>39.840000000000003</v>
      </c>
      <c r="K4720" t="s">
        <v>6</v>
      </c>
    </row>
    <row r="4721" spans="1:11">
      <c r="A4721" t="s">
        <v>4784</v>
      </c>
      <c r="B4721">
        <v>360743</v>
      </c>
      <c r="C4721" s="2" t="str">
        <f>"RT2735"</f>
        <v>RT2735</v>
      </c>
      <c r="D4721" t="s">
        <v>4823</v>
      </c>
      <c r="E4721" t="s">
        <v>4</v>
      </c>
      <c r="F4721">
        <v>14</v>
      </c>
      <c r="H4721" t="s">
        <v>5</v>
      </c>
      <c r="I4721" s="1">
        <v>59.99</v>
      </c>
      <c r="J4721" s="1">
        <v>58.32</v>
      </c>
      <c r="K4721" t="s">
        <v>6</v>
      </c>
    </row>
    <row r="4722" spans="1:11">
      <c r="A4722" t="s">
        <v>4784</v>
      </c>
      <c r="B4722">
        <v>528868</v>
      </c>
      <c r="C4722" s="2" t="str">
        <f>"TC175X502B"</f>
        <v>TC175X502B</v>
      </c>
      <c r="D4722" t="s">
        <v>4824</v>
      </c>
      <c r="E4722" t="s">
        <v>4</v>
      </c>
      <c r="F4722">
        <v>12</v>
      </c>
      <c r="H4722" t="s">
        <v>5</v>
      </c>
      <c r="I4722" s="1">
        <v>134.74</v>
      </c>
      <c r="J4722" s="1">
        <v>133.30000000000001</v>
      </c>
      <c r="K4722" t="s">
        <v>6</v>
      </c>
    </row>
    <row r="4723" spans="1:11">
      <c r="A4723" t="s">
        <v>4784</v>
      </c>
      <c r="B4723">
        <v>360047</v>
      </c>
      <c r="C4723" s="2" t="str">
        <f>"TH50"</f>
        <v>TH50</v>
      </c>
      <c r="D4723" t="s">
        <v>4825</v>
      </c>
      <c r="E4723" t="s">
        <v>4</v>
      </c>
      <c r="F4723">
        <v>14.3</v>
      </c>
      <c r="H4723" t="s">
        <v>5</v>
      </c>
      <c r="I4723" s="1">
        <v>46.05</v>
      </c>
      <c r="J4723" s="1">
        <v>44.34</v>
      </c>
      <c r="K4723" t="s">
        <v>6</v>
      </c>
    </row>
    <row r="4724" spans="1:11">
      <c r="A4724" t="s">
        <v>4784</v>
      </c>
      <c r="B4724">
        <v>563638</v>
      </c>
      <c r="C4724" s="2" t="str">
        <f>"Y11334"</f>
        <v>Y11334</v>
      </c>
      <c r="D4724" t="s">
        <v>4826</v>
      </c>
      <c r="E4724" t="s">
        <v>4</v>
      </c>
      <c r="F4724">
        <v>11.93</v>
      </c>
      <c r="H4724" t="s">
        <v>5</v>
      </c>
      <c r="I4724" s="1">
        <v>119.09</v>
      </c>
      <c r="J4724" s="1">
        <v>117.66</v>
      </c>
      <c r="K4724" t="s">
        <v>6</v>
      </c>
    </row>
    <row r="4725" spans="1:11">
      <c r="A4725" t="s">
        <v>4827</v>
      </c>
      <c r="B4725">
        <v>380950</v>
      </c>
      <c r="C4725" s="2" t="str">
        <f>"B4186L"</f>
        <v>B4186L</v>
      </c>
      <c r="D4725" t="s">
        <v>4828</v>
      </c>
      <c r="E4725" t="s">
        <v>4</v>
      </c>
      <c r="F4725">
        <v>3.5</v>
      </c>
      <c r="H4725" t="s">
        <v>5</v>
      </c>
      <c r="I4725" s="1">
        <v>46.14</v>
      </c>
      <c r="J4725" s="1">
        <v>46.14</v>
      </c>
      <c r="K4725" t="s">
        <v>6</v>
      </c>
    </row>
    <row r="4726" spans="1:11">
      <c r="A4726" t="s">
        <v>4827</v>
      </c>
      <c r="B4726">
        <v>380949</v>
      </c>
      <c r="C4726" s="2" t="str">
        <f>"B4300"</f>
        <v>B4300</v>
      </c>
      <c r="D4726" t="s">
        <v>4829</v>
      </c>
      <c r="E4726" t="s">
        <v>4</v>
      </c>
      <c r="F4726">
        <v>2.1</v>
      </c>
      <c r="H4726" t="s">
        <v>5</v>
      </c>
      <c r="I4726" s="1">
        <v>24.3</v>
      </c>
      <c r="J4726" s="1">
        <v>24.3</v>
      </c>
      <c r="K4726" t="s">
        <v>6</v>
      </c>
    </row>
    <row r="4727" spans="1:11">
      <c r="A4727" t="s">
        <v>4827</v>
      </c>
      <c r="B4727">
        <v>380947</v>
      </c>
      <c r="C4727" s="2" t="str">
        <f>"B5532"</f>
        <v>B5532</v>
      </c>
      <c r="D4727" t="s">
        <v>4830</v>
      </c>
      <c r="E4727" t="s">
        <v>4</v>
      </c>
      <c r="F4727">
        <v>4.9000000000000004</v>
      </c>
      <c r="H4727" t="s">
        <v>5</v>
      </c>
      <c r="I4727" s="1">
        <v>57.67</v>
      </c>
      <c r="J4727" s="1">
        <v>57.67</v>
      </c>
      <c r="K4727" t="s">
        <v>6</v>
      </c>
    </row>
    <row r="4728" spans="1:11">
      <c r="A4728" t="s">
        <v>4827</v>
      </c>
      <c r="B4728">
        <v>380948</v>
      </c>
      <c r="C4728" s="2" t="str">
        <f>"B5542"</f>
        <v>B5542</v>
      </c>
      <c r="D4728" t="s">
        <v>4831</v>
      </c>
      <c r="E4728" t="s">
        <v>4</v>
      </c>
      <c r="F4728">
        <v>6.4</v>
      </c>
      <c r="H4728" t="s">
        <v>5</v>
      </c>
      <c r="I4728" s="1">
        <v>74.31</v>
      </c>
      <c r="J4728" s="1">
        <v>74.31</v>
      </c>
      <c r="K4728" t="s">
        <v>6</v>
      </c>
    </row>
    <row r="4729" spans="1:11">
      <c r="A4729" t="s">
        <v>4827</v>
      </c>
      <c r="B4729">
        <v>409266</v>
      </c>
      <c r="C4729" s="2" t="str">
        <f>"B6180"</f>
        <v>B6180</v>
      </c>
      <c r="D4729" t="s">
        <v>4832</v>
      </c>
      <c r="E4729" t="s">
        <v>4</v>
      </c>
      <c r="F4729">
        <v>6</v>
      </c>
      <c r="H4729" t="s">
        <v>5</v>
      </c>
      <c r="I4729" s="1">
        <v>12.68</v>
      </c>
      <c r="J4729" s="1">
        <v>12.68</v>
      </c>
      <c r="K4729" t="s">
        <v>6</v>
      </c>
    </row>
    <row r="4730" spans="1:11">
      <c r="A4730" t="s">
        <v>4827</v>
      </c>
      <c r="B4730">
        <v>380946</v>
      </c>
      <c r="C4730" s="2" t="str">
        <f>"B6183L"</f>
        <v>B6183L</v>
      </c>
      <c r="D4730" t="s">
        <v>4833</v>
      </c>
      <c r="E4730" t="s">
        <v>4</v>
      </c>
      <c r="F4730">
        <v>6.5</v>
      </c>
      <c r="H4730" t="s">
        <v>5</v>
      </c>
      <c r="I4730" s="1">
        <v>99</v>
      </c>
      <c r="J4730" s="1">
        <v>99</v>
      </c>
      <c r="K4730" t="s">
        <v>6</v>
      </c>
    </row>
    <row r="4731" spans="1:11">
      <c r="A4731" t="s">
        <v>4827</v>
      </c>
      <c r="B4731">
        <v>431041</v>
      </c>
      <c r="C4731" s="2" t="str">
        <f>"BD4005S"</f>
        <v>BD4005S</v>
      </c>
      <c r="D4731" t="s">
        <v>4834</v>
      </c>
      <c r="E4731" t="s">
        <v>4</v>
      </c>
      <c r="F4731">
        <v>3.5</v>
      </c>
      <c r="H4731" t="s">
        <v>5</v>
      </c>
      <c r="I4731" s="1">
        <v>42.19</v>
      </c>
      <c r="J4731" s="1">
        <v>42.19</v>
      </c>
      <c r="K4731" t="s">
        <v>6</v>
      </c>
    </row>
    <row r="4732" spans="1:11">
      <c r="A4732" t="s">
        <v>4827</v>
      </c>
      <c r="B4732">
        <v>430758</v>
      </c>
      <c r="C4732" s="2" t="str">
        <f>"BD4006S"</f>
        <v>BD4006S</v>
      </c>
      <c r="D4732" t="s">
        <v>4835</v>
      </c>
      <c r="E4732" t="s">
        <v>4</v>
      </c>
      <c r="F4732">
        <v>3.5</v>
      </c>
      <c r="H4732" t="s">
        <v>5</v>
      </c>
      <c r="I4732" s="1">
        <v>42.19</v>
      </c>
      <c r="J4732" s="1">
        <v>42.19</v>
      </c>
      <c r="K4732" t="s">
        <v>6</v>
      </c>
    </row>
    <row r="4733" spans="1:11">
      <c r="A4733" t="s">
        <v>4827</v>
      </c>
      <c r="B4733">
        <v>431447</v>
      </c>
      <c r="C4733" s="2" t="str">
        <f>"BD4014"</f>
        <v>BD4014</v>
      </c>
      <c r="D4733" t="s">
        <v>4836</v>
      </c>
      <c r="E4733" t="s">
        <v>4</v>
      </c>
      <c r="F4733">
        <v>3.5</v>
      </c>
      <c r="H4733" t="s">
        <v>5</v>
      </c>
      <c r="I4733" s="1">
        <v>42.19</v>
      </c>
      <c r="J4733" s="1">
        <v>42.19</v>
      </c>
      <c r="K4733" t="s">
        <v>6</v>
      </c>
    </row>
    <row r="4734" spans="1:11">
      <c r="A4734" t="s">
        <v>4827</v>
      </c>
      <c r="B4734">
        <v>380940</v>
      </c>
      <c r="C4734" s="2" t="str">
        <f>"C2410C"</f>
        <v>C2410C</v>
      </c>
      <c r="D4734" t="s">
        <v>4837</v>
      </c>
      <c r="E4734" t="s">
        <v>4</v>
      </c>
      <c r="F4734">
        <v>3.5</v>
      </c>
      <c r="H4734" t="s">
        <v>5</v>
      </c>
      <c r="I4734" s="1">
        <v>55.02</v>
      </c>
      <c r="J4734" s="1">
        <v>55.02</v>
      </c>
      <c r="K4734" t="s">
        <v>6</v>
      </c>
    </row>
    <row r="4735" spans="1:11">
      <c r="A4735" t="s">
        <v>4827</v>
      </c>
      <c r="B4735">
        <v>380941</v>
      </c>
      <c r="C4735" s="2" t="str">
        <f>"C2410SM"</f>
        <v>C2410SM</v>
      </c>
      <c r="D4735" t="s">
        <v>4838</v>
      </c>
      <c r="E4735" t="s">
        <v>4</v>
      </c>
      <c r="F4735">
        <v>4.83</v>
      </c>
      <c r="H4735" t="s">
        <v>5</v>
      </c>
      <c r="I4735" s="1">
        <v>88.67</v>
      </c>
      <c r="J4735" s="1">
        <v>88.67</v>
      </c>
      <c r="K4735" t="s">
        <v>6</v>
      </c>
    </row>
    <row r="4736" spans="1:11">
      <c r="A4736" t="s">
        <v>4827</v>
      </c>
      <c r="B4736">
        <v>380929</v>
      </c>
      <c r="C4736" s="2" t="str">
        <f>"C3200P"</f>
        <v>C3200P</v>
      </c>
      <c r="D4736" t="s">
        <v>4839</v>
      </c>
      <c r="E4736" t="s">
        <v>4</v>
      </c>
      <c r="F4736">
        <v>3</v>
      </c>
      <c r="H4736" t="s">
        <v>5</v>
      </c>
      <c r="I4736" s="1">
        <v>34.049999999999997</v>
      </c>
      <c r="J4736" s="1">
        <v>34.049999999999997</v>
      </c>
      <c r="K4736" t="s">
        <v>6</v>
      </c>
    </row>
    <row r="4737" spans="1:12">
      <c r="A4737" t="s">
        <v>4827</v>
      </c>
      <c r="B4737">
        <v>380930</v>
      </c>
      <c r="C4737" s="2" t="str">
        <f>"C3400P"</f>
        <v>C3400P</v>
      </c>
      <c r="D4737" t="s">
        <v>4840</v>
      </c>
      <c r="E4737" t="s">
        <v>4</v>
      </c>
      <c r="F4737">
        <v>3.5</v>
      </c>
      <c r="H4737" t="s">
        <v>5</v>
      </c>
      <c r="I4737" s="1">
        <v>36.159999999999997</v>
      </c>
      <c r="J4737" s="1">
        <v>36.159999999999997</v>
      </c>
      <c r="K4737" t="s">
        <v>6</v>
      </c>
    </row>
    <row r="4738" spans="1:12">
      <c r="A4738" t="s">
        <v>4827</v>
      </c>
      <c r="B4738">
        <v>380931</v>
      </c>
      <c r="C4738" s="2" t="str">
        <f>"C3500P"</f>
        <v>C3500P</v>
      </c>
      <c r="D4738" t="s">
        <v>4841</v>
      </c>
      <c r="E4738" t="s">
        <v>4</v>
      </c>
      <c r="F4738">
        <v>4</v>
      </c>
      <c r="H4738" t="s">
        <v>5</v>
      </c>
      <c r="I4738" s="1">
        <v>54.03</v>
      </c>
      <c r="J4738" s="1">
        <v>54.03</v>
      </c>
      <c r="K4738" t="s">
        <v>6</v>
      </c>
    </row>
    <row r="4739" spans="1:12">
      <c r="A4739" t="s">
        <v>4827</v>
      </c>
      <c r="B4739">
        <v>380934</v>
      </c>
      <c r="C4739" s="2" t="str">
        <f>"C3620"</f>
        <v>C3620</v>
      </c>
      <c r="D4739" t="s">
        <v>4842</v>
      </c>
      <c r="E4739" t="s">
        <v>4</v>
      </c>
      <c r="F4739">
        <v>17.2</v>
      </c>
      <c r="H4739" t="s">
        <v>5</v>
      </c>
      <c r="I4739" s="1">
        <v>223.38</v>
      </c>
      <c r="J4739" s="1">
        <v>223.38</v>
      </c>
      <c r="K4739" t="s">
        <v>6</v>
      </c>
    </row>
    <row r="4740" spans="1:12">
      <c r="A4740" t="s">
        <v>4827</v>
      </c>
      <c r="B4740">
        <v>429451</v>
      </c>
      <c r="C4740" s="2" t="str">
        <f>"C4400PF"</f>
        <v>C4400PF</v>
      </c>
      <c r="D4740" t="s">
        <v>4843</v>
      </c>
      <c r="E4740" t="s">
        <v>4</v>
      </c>
      <c r="F4740">
        <v>2.6</v>
      </c>
      <c r="H4740" t="s">
        <v>5</v>
      </c>
      <c r="I4740" s="1">
        <v>34.99</v>
      </c>
      <c r="J4740" s="1">
        <v>34.99</v>
      </c>
      <c r="K4740" t="s">
        <v>6</v>
      </c>
    </row>
    <row r="4741" spans="1:12">
      <c r="A4741" t="s">
        <v>4827</v>
      </c>
      <c r="B4741">
        <v>397877</v>
      </c>
      <c r="C4741" s="2" t="str">
        <f>"CB121812WH"</f>
        <v>CB121812WH</v>
      </c>
      <c r="D4741" t="s">
        <v>4844</v>
      </c>
      <c r="E4741" t="s">
        <v>4</v>
      </c>
      <c r="F4741">
        <v>22.02</v>
      </c>
      <c r="G4741">
        <v>3.67</v>
      </c>
      <c r="H4741" t="s">
        <v>20</v>
      </c>
      <c r="I4741" s="1">
        <v>11.64</v>
      </c>
      <c r="J4741" s="1">
        <v>11.64</v>
      </c>
      <c r="K4741" t="s">
        <v>457</v>
      </c>
      <c r="L4741" s="1">
        <v>12.81</v>
      </c>
    </row>
    <row r="4742" spans="1:12">
      <c r="A4742" t="s">
        <v>4827</v>
      </c>
      <c r="B4742">
        <v>397644</v>
      </c>
      <c r="C4742" s="2" t="str">
        <f>"CB1218KC"</f>
        <v>CB1218KC</v>
      </c>
      <c r="D4742" t="s">
        <v>4845</v>
      </c>
      <c r="E4742" t="s">
        <v>4</v>
      </c>
      <c r="F4742">
        <v>22</v>
      </c>
      <c r="H4742" t="s">
        <v>5</v>
      </c>
      <c r="I4742" s="1">
        <v>82.08</v>
      </c>
      <c r="J4742" s="1">
        <v>82.08</v>
      </c>
      <c r="K4742" t="s">
        <v>6</v>
      </c>
    </row>
    <row r="4743" spans="1:12">
      <c r="A4743" t="s">
        <v>4827</v>
      </c>
      <c r="B4743">
        <v>397986</v>
      </c>
      <c r="C4743" s="2" t="str">
        <f>"CB152012RD"</f>
        <v>CB152012RD</v>
      </c>
      <c r="D4743" t="s">
        <v>4846</v>
      </c>
      <c r="E4743" t="s">
        <v>4</v>
      </c>
      <c r="F4743">
        <v>31.98</v>
      </c>
      <c r="G4743">
        <v>5.33</v>
      </c>
      <c r="H4743" t="s">
        <v>20</v>
      </c>
      <c r="I4743" s="1">
        <v>20.75</v>
      </c>
      <c r="J4743" s="1">
        <v>20.75</v>
      </c>
      <c r="K4743" t="s">
        <v>457</v>
      </c>
      <c r="L4743" s="1">
        <v>22.83</v>
      </c>
    </row>
    <row r="4744" spans="1:12">
      <c r="A4744" t="s">
        <v>4827</v>
      </c>
      <c r="B4744">
        <v>397884</v>
      </c>
      <c r="C4744" s="2" t="str">
        <f>"CB152012WH"</f>
        <v>CB152012WH</v>
      </c>
      <c r="D4744" t="s">
        <v>4844</v>
      </c>
      <c r="E4744" t="s">
        <v>4</v>
      </c>
      <c r="F4744">
        <v>31.98</v>
      </c>
      <c r="G4744">
        <v>5.33</v>
      </c>
      <c r="H4744" t="s">
        <v>20</v>
      </c>
      <c r="I4744" s="1">
        <v>16.11</v>
      </c>
      <c r="J4744" s="1">
        <v>16.11</v>
      </c>
      <c r="K4744" t="s">
        <v>457</v>
      </c>
      <c r="L4744" s="1">
        <v>17.72</v>
      </c>
    </row>
    <row r="4745" spans="1:12">
      <c r="A4745" t="s">
        <v>4827</v>
      </c>
      <c r="B4745">
        <v>397678</v>
      </c>
      <c r="C4745" s="2" t="str">
        <f>"CB1520KC"</f>
        <v>CB1520KC</v>
      </c>
      <c r="D4745" t="s">
        <v>4847</v>
      </c>
      <c r="E4745" t="s">
        <v>4</v>
      </c>
      <c r="F4745">
        <v>32</v>
      </c>
      <c r="H4745" t="s">
        <v>5</v>
      </c>
      <c r="I4745" s="1">
        <v>115.56</v>
      </c>
      <c r="J4745" s="1">
        <v>115.56</v>
      </c>
      <c r="K4745" t="s">
        <v>6</v>
      </c>
    </row>
    <row r="4746" spans="1:12">
      <c r="A4746" t="s">
        <v>4827</v>
      </c>
      <c r="B4746">
        <v>397889</v>
      </c>
      <c r="C4746" s="2" t="str">
        <f>"CB182412BL"</f>
        <v>CB182412BL</v>
      </c>
      <c r="D4746" t="s">
        <v>4848</v>
      </c>
      <c r="E4746" t="s">
        <v>4</v>
      </c>
      <c r="F4746">
        <v>42.96</v>
      </c>
      <c r="G4746">
        <v>7.16</v>
      </c>
      <c r="H4746" t="s">
        <v>20</v>
      </c>
      <c r="I4746" s="1">
        <v>29.85</v>
      </c>
      <c r="J4746" s="1">
        <v>29.85</v>
      </c>
      <c r="K4746" t="s">
        <v>457</v>
      </c>
      <c r="L4746" s="1">
        <v>32.840000000000003</v>
      </c>
    </row>
    <row r="4747" spans="1:12">
      <c r="A4747" t="s">
        <v>4827</v>
      </c>
      <c r="B4747">
        <v>397892</v>
      </c>
      <c r="C4747" s="2" t="str">
        <f>"CB182412GN"</f>
        <v>CB182412GN</v>
      </c>
      <c r="D4747" t="s">
        <v>4849</v>
      </c>
      <c r="E4747" t="s">
        <v>4</v>
      </c>
      <c r="F4747">
        <v>42.96</v>
      </c>
      <c r="G4747">
        <v>7.16</v>
      </c>
      <c r="H4747" t="s">
        <v>20</v>
      </c>
      <c r="I4747" s="1">
        <v>29.85</v>
      </c>
      <c r="J4747" s="1">
        <v>29.85</v>
      </c>
      <c r="K4747" t="s">
        <v>457</v>
      </c>
      <c r="L4747" s="1">
        <v>32.840000000000003</v>
      </c>
    </row>
    <row r="4748" spans="1:12">
      <c r="A4748" t="s">
        <v>4827</v>
      </c>
      <c r="B4748">
        <v>397893</v>
      </c>
      <c r="C4748" s="2" t="str">
        <f>"CB182412RD"</f>
        <v>CB182412RD</v>
      </c>
      <c r="D4748" t="s">
        <v>4850</v>
      </c>
      <c r="E4748" t="s">
        <v>4</v>
      </c>
      <c r="F4748">
        <v>42.96</v>
      </c>
      <c r="G4748">
        <v>7.16</v>
      </c>
      <c r="H4748" t="s">
        <v>20</v>
      </c>
      <c r="I4748" s="1">
        <v>29.85</v>
      </c>
      <c r="J4748" s="1">
        <v>29.85</v>
      </c>
      <c r="K4748" t="s">
        <v>457</v>
      </c>
      <c r="L4748" s="1">
        <v>32.840000000000003</v>
      </c>
    </row>
    <row r="4749" spans="1:12">
      <c r="A4749" t="s">
        <v>4827</v>
      </c>
      <c r="B4749">
        <v>397887</v>
      </c>
      <c r="C4749" s="2" t="str">
        <f>"CB182412WH"</f>
        <v>CB182412WH</v>
      </c>
      <c r="D4749" t="s">
        <v>4851</v>
      </c>
      <c r="E4749" t="s">
        <v>4</v>
      </c>
      <c r="F4749">
        <v>42.96</v>
      </c>
      <c r="G4749">
        <v>7.16</v>
      </c>
      <c r="H4749" t="s">
        <v>20</v>
      </c>
      <c r="I4749" s="1">
        <v>23.24</v>
      </c>
      <c r="J4749" s="1">
        <v>23.24</v>
      </c>
      <c r="K4749" t="s">
        <v>457</v>
      </c>
      <c r="L4749" s="1">
        <v>25.56</v>
      </c>
    </row>
    <row r="4750" spans="1:12">
      <c r="A4750" t="s">
        <v>4827</v>
      </c>
      <c r="B4750">
        <v>397894</v>
      </c>
      <c r="C4750" s="2" t="str">
        <f>"CB182412YL"</f>
        <v>CB182412YL</v>
      </c>
      <c r="D4750" t="s">
        <v>4852</v>
      </c>
      <c r="E4750" t="s">
        <v>4</v>
      </c>
      <c r="F4750">
        <v>42.96</v>
      </c>
      <c r="G4750">
        <v>7.16</v>
      </c>
      <c r="H4750" t="s">
        <v>20</v>
      </c>
      <c r="I4750" s="1">
        <v>29.85</v>
      </c>
      <c r="J4750" s="1">
        <v>29.85</v>
      </c>
      <c r="K4750" t="s">
        <v>457</v>
      </c>
      <c r="L4750" s="1">
        <v>32.840000000000003</v>
      </c>
    </row>
    <row r="4751" spans="1:12">
      <c r="A4751" t="s">
        <v>4827</v>
      </c>
      <c r="B4751">
        <v>397684</v>
      </c>
      <c r="C4751" s="2" t="str">
        <f>"CB1824KC"</f>
        <v>CB1824KC</v>
      </c>
      <c r="D4751" t="s">
        <v>4853</v>
      </c>
      <c r="E4751" t="s">
        <v>4</v>
      </c>
      <c r="F4751">
        <v>43</v>
      </c>
      <c r="H4751" t="s">
        <v>5</v>
      </c>
      <c r="I4751" s="1">
        <v>165</v>
      </c>
      <c r="J4751" s="1">
        <v>165</v>
      </c>
      <c r="K4751" t="s">
        <v>6</v>
      </c>
    </row>
    <row r="4752" spans="1:12">
      <c r="A4752" t="s">
        <v>4827</v>
      </c>
      <c r="B4752">
        <v>399224</v>
      </c>
      <c r="C4752" s="2" t="str">
        <f>"CBM1622"</f>
        <v>CBM1622</v>
      </c>
      <c r="D4752" t="s">
        <v>4854</v>
      </c>
      <c r="E4752" t="s">
        <v>4</v>
      </c>
      <c r="F4752">
        <v>8.52</v>
      </c>
      <c r="G4752">
        <v>1.42</v>
      </c>
      <c r="H4752" t="s">
        <v>20</v>
      </c>
      <c r="I4752" s="1">
        <v>25.67</v>
      </c>
      <c r="J4752" s="1">
        <v>25.67</v>
      </c>
      <c r="K4752" t="s">
        <v>457</v>
      </c>
      <c r="L4752" s="1">
        <v>28.24</v>
      </c>
    </row>
    <row r="4753" spans="1:12">
      <c r="A4753" t="s">
        <v>4827</v>
      </c>
      <c r="B4753">
        <v>380944</v>
      </c>
      <c r="C4753" s="2" t="str">
        <f>"CK6524A"</f>
        <v>CK6524A</v>
      </c>
      <c r="D4753" t="s">
        <v>4855</v>
      </c>
      <c r="E4753" t="s">
        <v>4</v>
      </c>
      <c r="F4753">
        <v>7.02</v>
      </c>
      <c r="G4753">
        <v>1.17</v>
      </c>
      <c r="H4753" t="s">
        <v>20</v>
      </c>
      <c r="I4753" s="1">
        <v>15.16</v>
      </c>
      <c r="J4753" s="1">
        <v>15.16</v>
      </c>
      <c r="K4753" t="s">
        <v>457</v>
      </c>
      <c r="L4753" s="1">
        <v>16.670000000000002</v>
      </c>
    </row>
    <row r="4754" spans="1:12">
      <c r="A4754" t="s">
        <v>4827</v>
      </c>
      <c r="B4754">
        <v>380945</v>
      </c>
      <c r="C4754" s="2" t="str">
        <f>"CK6536A"</f>
        <v>CK6536A</v>
      </c>
      <c r="D4754" t="s">
        <v>4856</v>
      </c>
      <c r="E4754" t="s">
        <v>4</v>
      </c>
      <c r="F4754">
        <v>10.38</v>
      </c>
      <c r="G4754">
        <v>1.73</v>
      </c>
      <c r="H4754" t="s">
        <v>20</v>
      </c>
      <c r="I4754" s="1">
        <v>19.64</v>
      </c>
      <c r="J4754" s="1">
        <v>19.64</v>
      </c>
      <c r="K4754" t="s">
        <v>457</v>
      </c>
      <c r="L4754" s="1">
        <v>21.61</v>
      </c>
    </row>
    <row r="4755" spans="1:12">
      <c r="A4755" t="s">
        <v>4827</v>
      </c>
      <c r="B4755">
        <v>380926</v>
      </c>
      <c r="C4755" s="2" t="str">
        <f>"H3001BKC"</f>
        <v>H3001BKC</v>
      </c>
      <c r="D4755" t="s">
        <v>4857</v>
      </c>
      <c r="E4755" t="s">
        <v>4</v>
      </c>
      <c r="F4755">
        <v>25.98</v>
      </c>
      <c r="G4755">
        <v>4.33</v>
      </c>
      <c r="H4755" t="s">
        <v>20</v>
      </c>
      <c r="I4755" s="1">
        <v>54.05</v>
      </c>
      <c r="J4755" s="1">
        <v>54.05</v>
      </c>
      <c r="K4755" t="s">
        <v>457</v>
      </c>
      <c r="L4755" s="1">
        <v>59.45</v>
      </c>
    </row>
    <row r="4756" spans="1:12">
      <c r="A4756" t="s">
        <v>4827</v>
      </c>
      <c r="B4756">
        <v>380928</v>
      </c>
      <c r="C4756" s="2" t="str">
        <f>"H3001CLBK"</f>
        <v>H3001CLBK</v>
      </c>
      <c r="D4756" t="s">
        <v>4857</v>
      </c>
      <c r="E4756" t="s">
        <v>4</v>
      </c>
      <c r="F4756">
        <v>23.94</v>
      </c>
      <c r="G4756">
        <v>3.99</v>
      </c>
      <c r="H4756" t="s">
        <v>20</v>
      </c>
      <c r="I4756" s="1">
        <v>48.33</v>
      </c>
      <c r="J4756" s="1">
        <v>48.33</v>
      </c>
      <c r="K4756" t="s">
        <v>457</v>
      </c>
      <c r="L4756" s="1">
        <v>53.17</v>
      </c>
    </row>
    <row r="4757" spans="1:12">
      <c r="A4757" t="s">
        <v>4827</v>
      </c>
      <c r="B4757">
        <v>416148</v>
      </c>
      <c r="C4757" s="2" t="str">
        <f>"IC2200SM"</f>
        <v>IC2200SM</v>
      </c>
      <c r="D4757" t="s">
        <v>4858</v>
      </c>
      <c r="E4757" t="s">
        <v>4</v>
      </c>
      <c r="F4757">
        <v>3</v>
      </c>
      <c r="H4757" t="s">
        <v>5</v>
      </c>
      <c r="I4757" s="1">
        <v>77.61</v>
      </c>
      <c r="J4757" s="1">
        <v>77.61</v>
      </c>
      <c r="K4757" t="s">
        <v>6</v>
      </c>
    </row>
    <row r="4758" spans="1:12">
      <c r="A4758" t="s">
        <v>4827</v>
      </c>
      <c r="B4758">
        <v>395928</v>
      </c>
      <c r="C4758" s="2" t="str">
        <f>"KA3200"</f>
        <v>KA3200</v>
      </c>
      <c r="D4758" t="s">
        <v>4859</v>
      </c>
      <c r="E4758" t="s">
        <v>4</v>
      </c>
      <c r="F4758">
        <v>19</v>
      </c>
      <c r="H4758" t="s">
        <v>5</v>
      </c>
      <c r="I4758" s="1">
        <v>325.72000000000003</v>
      </c>
      <c r="J4758" s="1">
        <v>325.72000000000003</v>
      </c>
      <c r="K4758" t="s">
        <v>6</v>
      </c>
    </row>
    <row r="4759" spans="1:12">
      <c r="A4759" t="s">
        <v>4827</v>
      </c>
      <c r="B4759">
        <v>397616</v>
      </c>
      <c r="C4759" s="2" t="str">
        <f>"KA3244"</f>
        <v>KA3244</v>
      </c>
      <c r="D4759" t="s">
        <v>4860</v>
      </c>
      <c r="E4759" t="s">
        <v>4</v>
      </c>
      <c r="F4759">
        <v>17</v>
      </c>
      <c r="H4759" t="s">
        <v>5</v>
      </c>
      <c r="I4759" s="1">
        <v>288.26</v>
      </c>
      <c r="J4759" s="1">
        <v>288.26</v>
      </c>
      <c r="K4759" t="s">
        <v>6</v>
      </c>
    </row>
    <row r="4760" spans="1:12">
      <c r="A4760" t="s">
        <v>4827</v>
      </c>
      <c r="B4760">
        <v>395929</v>
      </c>
      <c r="C4760" s="2" t="str">
        <f>"KA4400"</f>
        <v>KA4400</v>
      </c>
      <c r="D4760" t="s">
        <v>4861</v>
      </c>
      <c r="E4760" t="s">
        <v>4</v>
      </c>
      <c r="F4760">
        <v>19</v>
      </c>
      <c r="H4760" t="s">
        <v>5</v>
      </c>
      <c r="I4760" s="1">
        <v>341.97</v>
      </c>
      <c r="J4760" s="1">
        <v>341.97</v>
      </c>
      <c r="K4760" t="s">
        <v>6</v>
      </c>
    </row>
    <row r="4761" spans="1:12">
      <c r="A4761" t="s">
        <v>4827</v>
      </c>
      <c r="B4761">
        <v>395926</v>
      </c>
      <c r="C4761" s="2" t="str">
        <f>"KA600"</f>
        <v>KA600</v>
      </c>
      <c r="D4761" t="s">
        <v>4862</v>
      </c>
      <c r="E4761" t="s">
        <v>4</v>
      </c>
      <c r="F4761">
        <v>5</v>
      </c>
      <c r="H4761" t="s">
        <v>5</v>
      </c>
      <c r="I4761" s="1">
        <v>202.68</v>
      </c>
      <c r="J4761" s="1">
        <v>202.68</v>
      </c>
      <c r="K4761" t="s">
        <v>6</v>
      </c>
    </row>
    <row r="4762" spans="1:12">
      <c r="A4762" t="s">
        <v>4827</v>
      </c>
      <c r="B4762">
        <v>465320</v>
      </c>
      <c r="C4762" s="2" t="str">
        <f>"KK403"</f>
        <v>KK403</v>
      </c>
      <c r="D4762" t="s">
        <v>4863</v>
      </c>
      <c r="E4762" t="s">
        <v>4</v>
      </c>
      <c r="F4762">
        <v>4</v>
      </c>
      <c r="G4762">
        <v>0.08</v>
      </c>
      <c r="H4762" t="s">
        <v>4309</v>
      </c>
      <c r="I4762" s="1">
        <v>7.8</v>
      </c>
      <c r="J4762" s="1">
        <v>7.8</v>
      </c>
      <c r="K4762" t="s">
        <v>1870</v>
      </c>
      <c r="L4762" s="1">
        <v>8.58</v>
      </c>
    </row>
    <row r="4763" spans="1:12">
      <c r="A4763" t="s">
        <v>4827</v>
      </c>
      <c r="B4763">
        <v>554803</v>
      </c>
      <c r="C4763" s="2" t="str">
        <f>"KLP200"</f>
        <v>KLP200</v>
      </c>
      <c r="D4763" t="s">
        <v>4864</v>
      </c>
      <c r="E4763" t="s">
        <v>4</v>
      </c>
      <c r="F4763">
        <v>1.2</v>
      </c>
      <c r="G4763">
        <v>0.1</v>
      </c>
      <c r="H4763" t="s">
        <v>106</v>
      </c>
      <c r="I4763" s="1">
        <v>11.31</v>
      </c>
      <c r="J4763" s="1">
        <v>11.31</v>
      </c>
      <c r="K4763" t="s">
        <v>457</v>
      </c>
      <c r="L4763" s="1">
        <v>12.44</v>
      </c>
    </row>
    <row r="4764" spans="1:12">
      <c r="A4764" t="s">
        <v>4827</v>
      </c>
      <c r="B4764">
        <v>395922</v>
      </c>
      <c r="C4764" s="2" t="str">
        <f>"KLR-ST"</f>
        <v>KLR-ST</v>
      </c>
      <c r="D4764" t="s">
        <v>4865</v>
      </c>
      <c r="E4764" t="s">
        <v>4</v>
      </c>
      <c r="F4764">
        <v>5</v>
      </c>
      <c r="H4764" t="s">
        <v>5</v>
      </c>
      <c r="I4764" s="1">
        <v>38.97</v>
      </c>
      <c r="J4764" s="1">
        <v>38.97</v>
      </c>
      <c r="K4764" t="s">
        <v>6</v>
      </c>
    </row>
    <row r="4765" spans="1:12">
      <c r="A4765" t="s">
        <v>4827</v>
      </c>
      <c r="B4765">
        <v>397797</v>
      </c>
      <c r="C4765" s="2" t="str">
        <f>"KM1100"</f>
        <v>KM1100</v>
      </c>
      <c r="D4765" t="s">
        <v>4866</v>
      </c>
      <c r="E4765" t="s">
        <v>4</v>
      </c>
      <c r="F4765">
        <v>15</v>
      </c>
      <c r="H4765" t="s">
        <v>5</v>
      </c>
      <c r="I4765" s="1">
        <v>58.94</v>
      </c>
      <c r="J4765" s="1">
        <v>58.94</v>
      </c>
      <c r="K4765" t="s">
        <v>6</v>
      </c>
    </row>
    <row r="4766" spans="1:12">
      <c r="A4766" t="s">
        <v>4827</v>
      </c>
      <c r="B4766">
        <v>397800</v>
      </c>
      <c r="C4766" s="2" t="str">
        <f>"KM1200"</f>
        <v>KM1200</v>
      </c>
      <c r="D4766" t="s">
        <v>4867</v>
      </c>
      <c r="E4766" t="s">
        <v>4</v>
      </c>
      <c r="F4766">
        <v>25</v>
      </c>
      <c r="H4766" t="s">
        <v>5</v>
      </c>
      <c r="I4766" s="1">
        <v>80.69</v>
      </c>
      <c r="J4766" s="1">
        <v>80.69</v>
      </c>
      <c r="K4766" t="s">
        <v>6</v>
      </c>
    </row>
    <row r="4767" spans="1:12">
      <c r="A4767" t="s">
        <v>4827</v>
      </c>
      <c r="B4767">
        <v>395915</v>
      </c>
      <c r="C4767" s="2" t="str">
        <f>"KP196GN"</f>
        <v>KP196GN</v>
      </c>
      <c r="D4767" t="s">
        <v>4868</v>
      </c>
      <c r="E4767" t="s">
        <v>4</v>
      </c>
      <c r="F4767">
        <v>6</v>
      </c>
      <c r="G4767">
        <v>0.5</v>
      </c>
      <c r="H4767" t="s">
        <v>106</v>
      </c>
      <c r="I4767" s="1">
        <v>4.04</v>
      </c>
      <c r="J4767" s="1">
        <v>4.04</v>
      </c>
      <c r="K4767" t="s">
        <v>457</v>
      </c>
      <c r="L4767" s="1">
        <v>4.4400000000000004</v>
      </c>
    </row>
    <row r="4768" spans="1:12">
      <c r="A4768" t="s">
        <v>4827</v>
      </c>
      <c r="B4768">
        <v>395911</v>
      </c>
      <c r="C4768" s="2" t="str">
        <f>"KP-196RD"</f>
        <v>KP-196RD</v>
      </c>
      <c r="D4768" t="s">
        <v>4869</v>
      </c>
      <c r="E4768" t="s">
        <v>4</v>
      </c>
      <c r="F4768">
        <v>6</v>
      </c>
      <c r="G4768">
        <v>0.5</v>
      </c>
      <c r="H4768" t="s">
        <v>106</v>
      </c>
      <c r="I4768" s="1">
        <v>4.04</v>
      </c>
      <c r="J4768" s="1">
        <v>4.04</v>
      </c>
      <c r="K4768" t="s">
        <v>457</v>
      </c>
      <c r="L4768" s="1">
        <v>4.4400000000000004</v>
      </c>
    </row>
    <row r="4769" spans="1:12">
      <c r="A4769" t="s">
        <v>4827</v>
      </c>
      <c r="B4769">
        <v>537133</v>
      </c>
      <c r="C4769" s="2" t="str">
        <f>"KP256GR"</f>
        <v>KP256GR</v>
      </c>
      <c r="D4769" t="s">
        <v>4870</v>
      </c>
      <c r="E4769" t="s">
        <v>4</v>
      </c>
      <c r="F4769">
        <v>9</v>
      </c>
      <c r="G4769">
        <v>0.75</v>
      </c>
      <c r="H4769" t="s">
        <v>106</v>
      </c>
      <c r="I4769" s="1">
        <v>5.63</v>
      </c>
      <c r="J4769" s="1">
        <v>5.63</v>
      </c>
      <c r="K4769" t="s">
        <v>21</v>
      </c>
      <c r="L4769" s="1">
        <v>6.19</v>
      </c>
    </row>
    <row r="4770" spans="1:12">
      <c r="A4770" t="s">
        <v>4827</v>
      </c>
      <c r="B4770">
        <v>397895</v>
      </c>
      <c r="C4770" s="2" t="str">
        <f>"KP256RD"</f>
        <v>KP256RD</v>
      </c>
      <c r="D4770" t="s">
        <v>4871</v>
      </c>
      <c r="E4770" t="s">
        <v>4</v>
      </c>
      <c r="F4770">
        <v>9</v>
      </c>
      <c r="G4770">
        <v>0.75</v>
      </c>
      <c r="H4770" t="s">
        <v>106</v>
      </c>
      <c r="I4770" s="1">
        <v>5.63</v>
      </c>
      <c r="J4770" s="1">
        <v>5.63</v>
      </c>
      <c r="K4770" t="s">
        <v>457</v>
      </c>
      <c r="L4770" s="1">
        <v>6.19</v>
      </c>
    </row>
    <row r="4771" spans="1:12">
      <c r="A4771" t="s">
        <v>4827</v>
      </c>
      <c r="B4771">
        <v>430527</v>
      </c>
      <c r="C4771" s="2" t="str">
        <f>"KP500"</f>
        <v>KP500</v>
      </c>
      <c r="D4771" t="s">
        <v>4872</v>
      </c>
      <c r="E4771" t="s">
        <v>4</v>
      </c>
      <c r="F4771">
        <v>1.1399999999999999</v>
      </c>
      <c r="H4771" t="s">
        <v>5</v>
      </c>
      <c r="I4771" s="1">
        <v>13.98</v>
      </c>
      <c r="J4771" s="1">
        <v>13.98</v>
      </c>
      <c r="K4771" t="s">
        <v>6</v>
      </c>
    </row>
    <row r="4772" spans="1:12">
      <c r="A4772" t="s">
        <v>4827</v>
      </c>
      <c r="B4772">
        <v>395912</v>
      </c>
      <c r="C4772" s="2" t="str">
        <f>"KP97GN"</f>
        <v>KP97GN</v>
      </c>
      <c r="D4772" t="s">
        <v>4873</v>
      </c>
      <c r="E4772" t="s">
        <v>4</v>
      </c>
      <c r="F4772">
        <v>3.96</v>
      </c>
      <c r="G4772">
        <v>0.33</v>
      </c>
      <c r="H4772" t="s">
        <v>106</v>
      </c>
      <c r="I4772" s="1">
        <v>3.1</v>
      </c>
      <c r="J4772" s="1">
        <v>3.1</v>
      </c>
      <c r="K4772" t="s">
        <v>457</v>
      </c>
      <c r="L4772" s="1">
        <v>3.41</v>
      </c>
    </row>
    <row r="4773" spans="1:12">
      <c r="A4773" t="s">
        <v>4827</v>
      </c>
      <c r="B4773">
        <v>395910</v>
      </c>
      <c r="C4773" s="2" t="str">
        <f>"KP97RD"</f>
        <v>KP97RD</v>
      </c>
      <c r="D4773" t="s">
        <v>4874</v>
      </c>
      <c r="E4773" t="s">
        <v>4</v>
      </c>
      <c r="F4773">
        <v>3.96</v>
      </c>
      <c r="G4773">
        <v>0.33</v>
      </c>
      <c r="H4773" t="s">
        <v>106</v>
      </c>
      <c r="I4773" s="1">
        <v>3.1</v>
      </c>
      <c r="J4773" s="1">
        <v>3.1</v>
      </c>
      <c r="K4773" t="s">
        <v>457</v>
      </c>
      <c r="L4773" s="1">
        <v>3.41</v>
      </c>
    </row>
    <row r="4774" spans="1:12">
      <c r="A4774" t="s">
        <v>4827</v>
      </c>
      <c r="B4774">
        <v>445406</v>
      </c>
      <c r="C4774" s="2" t="str">
        <f>"KT0112K"</f>
        <v>KT0112K</v>
      </c>
      <c r="D4774" t="s">
        <v>4875</v>
      </c>
      <c r="E4774" t="s">
        <v>4</v>
      </c>
      <c r="F4774">
        <v>1</v>
      </c>
      <c r="H4774" t="s">
        <v>5</v>
      </c>
      <c r="I4774" s="1">
        <v>35.5</v>
      </c>
      <c r="J4774" s="1">
        <v>35.5</v>
      </c>
      <c r="K4774" t="s">
        <v>6</v>
      </c>
    </row>
    <row r="4775" spans="1:12">
      <c r="A4775" t="s">
        <v>4827</v>
      </c>
      <c r="B4775">
        <v>380937</v>
      </c>
      <c r="C4775" s="2" t="str">
        <f>"L1014"</f>
        <v>L1014</v>
      </c>
      <c r="D4775" t="s">
        <v>4876</v>
      </c>
      <c r="E4775" t="s">
        <v>4</v>
      </c>
      <c r="F4775">
        <v>3.2</v>
      </c>
      <c r="H4775" t="s">
        <v>5</v>
      </c>
      <c r="I4775" s="1">
        <v>70.010000000000005</v>
      </c>
      <c r="J4775" s="1">
        <v>70.010000000000005</v>
      </c>
      <c r="K4775" t="s">
        <v>6</v>
      </c>
    </row>
    <row r="4776" spans="1:12">
      <c r="A4776" t="s">
        <v>4827</v>
      </c>
      <c r="B4776">
        <v>380935</v>
      </c>
      <c r="C4776" s="2" t="str">
        <f>"L3402"</f>
        <v>L3402</v>
      </c>
      <c r="D4776" t="s">
        <v>4877</v>
      </c>
      <c r="E4776" t="s">
        <v>4</v>
      </c>
      <c r="F4776">
        <v>2.8</v>
      </c>
      <c r="H4776" t="s">
        <v>5</v>
      </c>
      <c r="I4776" s="1">
        <v>41.15</v>
      </c>
      <c r="J4776" s="1">
        <v>41.15</v>
      </c>
      <c r="K4776" t="s">
        <v>6</v>
      </c>
    </row>
    <row r="4777" spans="1:12">
      <c r="A4777" t="s">
        <v>4827</v>
      </c>
      <c r="B4777">
        <v>445402</v>
      </c>
      <c r="C4777" s="2" t="str">
        <f>"MK0901"</f>
        <v>MK0901</v>
      </c>
      <c r="D4777" t="s">
        <v>4878</v>
      </c>
      <c r="E4777" t="s">
        <v>4</v>
      </c>
      <c r="F4777">
        <v>1.8</v>
      </c>
      <c r="H4777" t="s">
        <v>5</v>
      </c>
      <c r="I4777" s="1">
        <v>32.82</v>
      </c>
      <c r="J4777" s="1">
        <v>32.82</v>
      </c>
      <c r="K4777" t="s">
        <v>6</v>
      </c>
    </row>
    <row r="4778" spans="1:12">
      <c r="A4778" t="s">
        <v>4827</v>
      </c>
      <c r="B4778">
        <v>432342</v>
      </c>
      <c r="C4778" s="2" t="str">
        <f>"MK0906"</f>
        <v>MK0906</v>
      </c>
      <c r="D4778" t="s">
        <v>4879</v>
      </c>
      <c r="E4778" t="s">
        <v>4</v>
      </c>
      <c r="F4778">
        <v>4.8</v>
      </c>
      <c r="H4778" t="s">
        <v>5</v>
      </c>
      <c r="I4778" s="1">
        <v>43.51</v>
      </c>
      <c r="J4778" s="1">
        <v>43.51</v>
      </c>
      <c r="K4778" t="s">
        <v>6</v>
      </c>
    </row>
    <row r="4779" spans="1:12">
      <c r="A4779" t="s">
        <v>4827</v>
      </c>
      <c r="B4779">
        <v>389741</v>
      </c>
      <c r="C4779" s="2" t="str">
        <f>"P7300"</f>
        <v>P7300</v>
      </c>
      <c r="D4779" t="s">
        <v>4880</v>
      </c>
      <c r="E4779" t="s">
        <v>4</v>
      </c>
      <c r="F4779">
        <v>0.2</v>
      </c>
      <c r="H4779" t="s">
        <v>5</v>
      </c>
      <c r="I4779" s="1">
        <v>7.88</v>
      </c>
      <c r="J4779" s="1">
        <v>7.88</v>
      </c>
      <c r="K4779" t="s">
        <v>6</v>
      </c>
    </row>
    <row r="4780" spans="1:12">
      <c r="A4780" t="s">
        <v>4827</v>
      </c>
      <c r="B4780">
        <v>389743</v>
      </c>
      <c r="C4780" s="2" t="str">
        <f>"P7500"</f>
        <v>P7500</v>
      </c>
      <c r="D4780" t="s">
        <v>4881</v>
      </c>
      <c r="E4780" t="s">
        <v>4</v>
      </c>
      <c r="F4780">
        <v>0.5</v>
      </c>
      <c r="H4780" t="s">
        <v>5</v>
      </c>
      <c r="I4780" s="1">
        <v>40.82</v>
      </c>
      <c r="J4780" s="1">
        <v>40.82</v>
      </c>
      <c r="K4780" t="s">
        <v>6</v>
      </c>
    </row>
    <row r="4781" spans="1:12">
      <c r="A4781" t="s">
        <v>4827</v>
      </c>
      <c r="B4781">
        <v>380942</v>
      </c>
      <c r="C4781" s="2" t="str">
        <f>"P9800"</f>
        <v>P9800</v>
      </c>
      <c r="D4781" t="s">
        <v>4882</v>
      </c>
      <c r="E4781" t="s">
        <v>4</v>
      </c>
      <c r="F4781">
        <v>4.9000000000000004</v>
      </c>
      <c r="H4781" t="s">
        <v>5</v>
      </c>
      <c r="I4781" s="1">
        <v>110.87</v>
      </c>
      <c r="J4781" s="1">
        <v>110.87</v>
      </c>
      <c r="K4781" t="s">
        <v>6</v>
      </c>
    </row>
    <row r="4782" spans="1:12">
      <c r="A4782" t="s">
        <v>4827</v>
      </c>
      <c r="B4782">
        <v>380943</v>
      </c>
      <c r="C4782" s="2" t="str">
        <f>"P9810"</f>
        <v>P9810</v>
      </c>
      <c r="D4782" t="s">
        <v>4883</v>
      </c>
      <c r="E4782" t="s">
        <v>4</v>
      </c>
      <c r="F4782">
        <v>4.3</v>
      </c>
      <c r="H4782" t="s">
        <v>5</v>
      </c>
      <c r="I4782" s="1">
        <v>106.74</v>
      </c>
      <c r="J4782" s="1">
        <v>106.74</v>
      </c>
      <c r="K4782" t="s">
        <v>6</v>
      </c>
    </row>
    <row r="4783" spans="1:12">
      <c r="A4783" t="s">
        <v>4827</v>
      </c>
      <c r="B4783">
        <v>452576</v>
      </c>
      <c r="C4783" s="2" t="str">
        <f>"PL0103"</f>
        <v>PL0103</v>
      </c>
      <c r="D4783" t="s">
        <v>4884</v>
      </c>
      <c r="E4783" t="s">
        <v>4</v>
      </c>
      <c r="F4783">
        <v>2</v>
      </c>
      <c r="H4783" t="s">
        <v>5</v>
      </c>
      <c r="I4783" s="1">
        <v>17.68</v>
      </c>
      <c r="J4783" s="1">
        <v>17.68</v>
      </c>
      <c r="K4783" t="s">
        <v>6</v>
      </c>
    </row>
    <row r="4784" spans="1:12">
      <c r="A4784" t="s">
        <v>4827</v>
      </c>
      <c r="B4784">
        <v>380921</v>
      </c>
      <c r="C4784" s="2" t="str">
        <f>"R4000TBK"</f>
        <v>R4000TBK</v>
      </c>
      <c r="D4784" t="s">
        <v>4885</v>
      </c>
      <c r="E4784" t="s">
        <v>4</v>
      </c>
      <c r="F4784">
        <v>20</v>
      </c>
      <c r="G4784">
        <v>5</v>
      </c>
      <c r="H4784" t="s">
        <v>153</v>
      </c>
      <c r="I4784" s="1">
        <v>29.93</v>
      </c>
      <c r="J4784" s="1">
        <v>29.93</v>
      </c>
      <c r="K4784" t="s">
        <v>457</v>
      </c>
      <c r="L4784" s="1">
        <v>32.92</v>
      </c>
    </row>
    <row r="4785" spans="1:12">
      <c r="A4785" t="s">
        <v>4827</v>
      </c>
      <c r="B4785">
        <v>516304</v>
      </c>
      <c r="C4785" s="2" t="str">
        <f>"RCU128V2"</f>
        <v>RCU128V2</v>
      </c>
      <c r="D4785" t="s">
        <v>4886</v>
      </c>
      <c r="E4785" t="s">
        <v>4</v>
      </c>
      <c r="F4785">
        <v>9.18</v>
      </c>
      <c r="G4785">
        <v>1.53</v>
      </c>
      <c r="H4785" t="s">
        <v>20</v>
      </c>
      <c r="I4785" s="1">
        <v>35.04</v>
      </c>
      <c r="J4785" s="1">
        <v>35.04</v>
      </c>
      <c r="K4785" t="s">
        <v>457</v>
      </c>
      <c r="L4785" s="1">
        <v>38.54</v>
      </c>
    </row>
    <row r="4786" spans="1:12">
      <c r="A4786" t="s">
        <v>4827</v>
      </c>
      <c r="B4786">
        <v>515534</v>
      </c>
      <c r="C4786" s="2" t="str">
        <f>"RCU64V2"</f>
        <v>RCU64V2</v>
      </c>
      <c r="D4786" t="s">
        <v>4887</v>
      </c>
      <c r="E4786" t="s">
        <v>4</v>
      </c>
      <c r="F4786">
        <v>7.38</v>
      </c>
      <c r="G4786">
        <v>1.23</v>
      </c>
      <c r="H4786" t="s">
        <v>20</v>
      </c>
      <c r="I4786" s="1">
        <v>26.44</v>
      </c>
      <c r="J4786" s="1">
        <v>26.44</v>
      </c>
      <c r="K4786" t="s">
        <v>457</v>
      </c>
      <c r="L4786" s="1">
        <v>29.09</v>
      </c>
    </row>
    <row r="4787" spans="1:12">
      <c r="A4787" t="s">
        <v>4827</v>
      </c>
      <c r="B4787">
        <v>395917</v>
      </c>
      <c r="C4787" s="2" t="str">
        <f>"RP-15"</f>
        <v>RP-15</v>
      </c>
      <c r="D4787" t="s">
        <v>4888</v>
      </c>
      <c r="E4787" t="s">
        <v>4</v>
      </c>
      <c r="F4787">
        <v>5</v>
      </c>
      <c r="H4787" t="s">
        <v>5</v>
      </c>
      <c r="I4787" s="1">
        <v>90.67</v>
      </c>
      <c r="J4787" s="1">
        <v>90.67</v>
      </c>
      <c r="K4787" t="s">
        <v>6</v>
      </c>
    </row>
    <row r="4788" spans="1:12">
      <c r="A4788" t="s">
        <v>4827</v>
      </c>
      <c r="B4788">
        <v>539382</v>
      </c>
      <c r="C4788" s="2" t="str">
        <f>"S30TBK"</f>
        <v>S30TBK</v>
      </c>
      <c r="D4788" t="s">
        <v>4889</v>
      </c>
      <c r="E4788" t="s">
        <v>4</v>
      </c>
      <c r="F4788">
        <v>5.22</v>
      </c>
      <c r="G4788">
        <v>0.87</v>
      </c>
      <c r="H4788" t="s">
        <v>20</v>
      </c>
      <c r="I4788" s="1">
        <v>15.76</v>
      </c>
      <c r="J4788" s="1">
        <v>15.76</v>
      </c>
      <c r="K4788" t="s">
        <v>21</v>
      </c>
      <c r="L4788" s="1">
        <v>17.34</v>
      </c>
    </row>
    <row r="4789" spans="1:12">
      <c r="A4789" t="s">
        <v>4827</v>
      </c>
      <c r="B4789">
        <v>458153</v>
      </c>
      <c r="C4789" s="2" t="str">
        <f>"S890TBK"</f>
        <v>S890TBK</v>
      </c>
      <c r="D4789" t="s">
        <v>4890</v>
      </c>
      <c r="E4789" t="s">
        <v>4</v>
      </c>
      <c r="F4789">
        <v>63</v>
      </c>
      <c r="G4789">
        <v>10.5</v>
      </c>
      <c r="H4789" t="s">
        <v>20</v>
      </c>
      <c r="I4789" s="1">
        <v>19.55</v>
      </c>
      <c r="J4789" s="1">
        <v>19.55</v>
      </c>
      <c r="K4789" t="s">
        <v>21</v>
      </c>
      <c r="L4789" s="1">
        <v>21.51</v>
      </c>
    </row>
    <row r="4790" spans="1:12">
      <c r="A4790" t="s">
        <v>4827</v>
      </c>
      <c r="B4790">
        <v>395880</v>
      </c>
      <c r="C4790" s="2" t="str">
        <f>"SI-2000"</f>
        <v>SI-2000</v>
      </c>
      <c r="D4790" t="s">
        <v>4891</v>
      </c>
      <c r="E4790" t="s">
        <v>4</v>
      </c>
      <c r="F4790">
        <v>1.5</v>
      </c>
      <c r="G4790">
        <v>0.25</v>
      </c>
      <c r="H4790" t="s">
        <v>20</v>
      </c>
      <c r="I4790" s="1">
        <v>24.73</v>
      </c>
      <c r="J4790" s="1">
        <v>24.73</v>
      </c>
      <c r="K4790" t="s">
        <v>457</v>
      </c>
      <c r="L4790" s="1">
        <v>27.21</v>
      </c>
    </row>
    <row r="4791" spans="1:12">
      <c r="A4791" t="s">
        <v>4827</v>
      </c>
      <c r="B4791">
        <v>430371</v>
      </c>
      <c r="C4791" s="2" t="str">
        <f>"SI5000"</f>
        <v>SI5000</v>
      </c>
      <c r="D4791" t="s">
        <v>4892</v>
      </c>
      <c r="E4791" t="s">
        <v>4</v>
      </c>
      <c r="F4791">
        <v>1.5</v>
      </c>
      <c r="H4791" t="s">
        <v>5</v>
      </c>
      <c r="I4791" s="1">
        <v>26.14</v>
      </c>
      <c r="J4791" s="1">
        <v>26.14</v>
      </c>
      <c r="K4791" t="s">
        <v>6</v>
      </c>
    </row>
    <row r="4792" spans="1:12">
      <c r="A4792" t="s">
        <v>4827</v>
      </c>
      <c r="B4792">
        <v>430369</v>
      </c>
      <c r="C4792" s="2" t="str">
        <f>"SI5500"</f>
        <v>SI5500</v>
      </c>
      <c r="D4792" t="s">
        <v>4893</v>
      </c>
      <c r="E4792" t="s">
        <v>4</v>
      </c>
      <c r="F4792">
        <v>0.5</v>
      </c>
      <c r="H4792" t="s">
        <v>5</v>
      </c>
      <c r="I4792" s="1">
        <v>7.59</v>
      </c>
      <c r="J4792" s="1">
        <v>7.59</v>
      </c>
      <c r="K4792" t="s">
        <v>6</v>
      </c>
    </row>
    <row r="4793" spans="1:12">
      <c r="A4793" t="s">
        <v>4827</v>
      </c>
      <c r="B4793">
        <v>395927</v>
      </c>
      <c r="C4793" s="2" t="str">
        <f>"SI6000"</f>
        <v>SI6000</v>
      </c>
      <c r="D4793" t="s">
        <v>4894</v>
      </c>
      <c r="E4793" t="s">
        <v>4</v>
      </c>
      <c r="F4793">
        <v>6</v>
      </c>
      <c r="G4793">
        <v>3</v>
      </c>
      <c r="H4793" t="s">
        <v>175</v>
      </c>
      <c r="I4793" s="1">
        <v>38.869999999999997</v>
      </c>
      <c r="J4793" s="1">
        <v>38.869999999999997</v>
      </c>
      <c r="K4793" t="s">
        <v>457</v>
      </c>
      <c r="L4793" s="1">
        <v>42.76</v>
      </c>
    </row>
    <row r="4794" spans="1:12">
      <c r="A4794" t="s">
        <v>4827</v>
      </c>
      <c r="B4794">
        <v>537134</v>
      </c>
      <c r="C4794" s="2" t="str">
        <f>"SI6100"</f>
        <v>SI6100</v>
      </c>
      <c r="D4794" t="s">
        <v>4895</v>
      </c>
      <c r="E4794" t="s">
        <v>4</v>
      </c>
      <c r="F4794">
        <v>5</v>
      </c>
      <c r="G4794">
        <v>2.5</v>
      </c>
      <c r="H4794" t="s">
        <v>175</v>
      </c>
      <c r="I4794" s="1">
        <v>36.35</v>
      </c>
      <c r="J4794" s="1">
        <v>36.35</v>
      </c>
      <c r="K4794" t="s">
        <v>21</v>
      </c>
      <c r="L4794" s="1">
        <v>39.99</v>
      </c>
    </row>
    <row r="4795" spans="1:12">
      <c r="A4795" t="s">
        <v>4827</v>
      </c>
      <c r="B4795">
        <v>453718</v>
      </c>
      <c r="C4795" s="2" t="str">
        <f>"SI7000"</f>
        <v>SI7000</v>
      </c>
      <c r="D4795" t="s">
        <v>4896</v>
      </c>
      <c r="E4795" t="s">
        <v>4</v>
      </c>
      <c r="F4795">
        <v>2</v>
      </c>
      <c r="H4795" t="s">
        <v>5</v>
      </c>
      <c r="I4795" s="1">
        <v>36.99</v>
      </c>
      <c r="J4795" s="1">
        <v>36.99</v>
      </c>
      <c r="K4795" t="s">
        <v>6</v>
      </c>
    </row>
    <row r="4796" spans="1:12">
      <c r="A4796" t="s">
        <v>4827</v>
      </c>
      <c r="B4796">
        <v>449099</v>
      </c>
      <c r="C4796" s="2" t="str">
        <f>"SI9000"</f>
        <v>SI9000</v>
      </c>
      <c r="D4796" t="s">
        <v>4897</v>
      </c>
      <c r="E4796" t="s">
        <v>4</v>
      </c>
      <c r="F4796">
        <v>3.3</v>
      </c>
      <c r="H4796" t="s">
        <v>5</v>
      </c>
      <c r="I4796" s="1">
        <v>62.18</v>
      </c>
      <c r="J4796" s="1">
        <v>62.18</v>
      </c>
      <c r="K4796" t="s">
        <v>6</v>
      </c>
    </row>
    <row r="4797" spans="1:12">
      <c r="A4797" t="s">
        <v>4827</v>
      </c>
      <c r="B4797">
        <v>460601</v>
      </c>
      <c r="C4797" s="2" t="str">
        <f>"SI9500"</f>
        <v>SI9500</v>
      </c>
      <c r="D4797" t="s">
        <v>4898</v>
      </c>
      <c r="E4797" t="s">
        <v>4</v>
      </c>
      <c r="F4797">
        <v>1</v>
      </c>
      <c r="H4797" t="s">
        <v>5</v>
      </c>
      <c r="I4797" s="1">
        <v>21.79</v>
      </c>
      <c r="J4797" s="1">
        <v>21.79</v>
      </c>
      <c r="K4797" t="s">
        <v>6</v>
      </c>
    </row>
    <row r="4798" spans="1:12">
      <c r="A4798" t="s">
        <v>4827</v>
      </c>
      <c r="B4798">
        <v>484681</v>
      </c>
      <c r="C4798" s="2" t="str">
        <f>"SW1218"</f>
        <v>SW1218</v>
      </c>
      <c r="D4798" t="s">
        <v>4899</v>
      </c>
      <c r="E4798" t="s">
        <v>4</v>
      </c>
      <c r="F4798">
        <v>6.7</v>
      </c>
      <c r="H4798" t="s">
        <v>5</v>
      </c>
      <c r="I4798" s="1">
        <v>61.46</v>
      </c>
      <c r="J4798" s="1">
        <v>61.46</v>
      </c>
      <c r="K4798" t="s">
        <v>6</v>
      </c>
    </row>
    <row r="4799" spans="1:12">
      <c r="A4799" t="s">
        <v>4827</v>
      </c>
      <c r="B4799">
        <v>389733</v>
      </c>
      <c r="C4799" s="2" t="str">
        <f>"T1100WH"</f>
        <v>T1100WH</v>
      </c>
      <c r="D4799" t="s">
        <v>4900</v>
      </c>
      <c r="E4799" t="s">
        <v>4</v>
      </c>
      <c r="F4799">
        <v>8</v>
      </c>
      <c r="H4799" t="s">
        <v>5</v>
      </c>
      <c r="I4799" s="1">
        <v>58.79</v>
      </c>
      <c r="J4799" s="1">
        <v>58.79</v>
      </c>
      <c r="K4799" t="s">
        <v>6</v>
      </c>
    </row>
    <row r="4800" spans="1:12">
      <c r="A4800" t="s">
        <v>4827</v>
      </c>
      <c r="B4800">
        <v>570218</v>
      </c>
      <c r="C4800" s="2" t="str">
        <f>"T1190TBK"</f>
        <v>T1190TBK</v>
      </c>
      <c r="D4800" t="s">
        <v>4901</v>
      </c>
      <c r="E4800" t="s">
        <v>4</v>
      </c>
      <c r="F4800">
        <v>5.69</v>
      </c>
      <c r="H4800" t="s">
        <v>5</v>
      </c>
      <c r="I4800" s="1">
        <v>58.79</v>
      </c>
      <c r="J4800" s="1">
        <v>58.79</v>
      </c>
      <c r="K4800" t="s">
        <v>6</v>
      </c>
    </row>
    <row r="4801" spans="1:12">
      <c r="A4801" t="s">
        <v>4827</v>
      </c>
      <c r="B4801">
        <v>389735</v>
      </c>
      <c r="C4801" s="2" t="str">
        <f>"T1790TBK"</f>
        <v>T1790TBK</v>
      </c>
      <c r="D4801" t="s">
        <v>4902</v>
      </c>
      <c r="E4801" t="s">
        <v>4</v>
      </c>
      <c r="F4801">
        <v>24.25</v>
      </c>
      <c r="G4801">
        <v>4.8499999999999996</v>
      </c>
      <c r="H4801" t="s">
        <v>151</v>
      </c>
      <c r="I4801" s="1">
        <v>23.75</v>
      </c>
      <c r="J4801" s="1">
        <v>23.75</v>
      </c>
      <c r="K4801" t="s">
        <v>457</v>
      </c>
      <c r="L4801" s="1">
        <v>26.13</v>
      </c>
    </row>
    <row r="4802" spans="1:12">
      <c r="A4802" t="s">
        <v>4827</v>
      </c>
      <c r="B4802">
        <v>414870</v>
      </c>
      <c r="C4802" s="2" t="str">
        <f>"TST9343"</f>
        <v>TST9343</v>
      </c>
      <c r="D4802" t="s">
        <v>4903</v>
      </c>
      <c r="E4802" t="s">
        <v>4</v>
      </c>
      <c r="F4802">
        <v>0.5</v>
      </c>
      <c r="H4802" t="s">
        <v>5</v>
      </c>
      <c r="I4802" s="1">
        <v>49.85</v>
      </c>
      <c r="J4802" s="1">
        <v>49.85</v>
      </c>
      <c r="K4802" t="s">
        <v>6</v>
      </c>
    </row>
    <row r="4803" spans="1:12">
      <c r="A4803" t="s">
        <v>4827</v>
      </c>
      <c r="B4803">
        <v>422088</v>
      </c>
      <c r="C4803" s="2" t="str">
        <f>"TST9345"</f>
        <v>TST9345</v>
      </c>
      <c r="D4803" t="s">
        <v>4904</v>
      </c>
      <c r="E4803" t="s">
        <v>4</v>
      </c>
      <c r="F4803">
        <v>0.5</v>
      </c>
      <c r="H4803" t="s">
        <v>5</v>
      </c>
      <c r="I4803" s="1">
        <v>49.85</v>
      </c>
      <c r="J4803" s="1">
        <v>49.85</v>
      </c>
      <c r="K4803" t="s">
        <v>6</v>
      </c>
    </row>
    <row r="4804" spans="1:12">
      <c r="A4804" t="s">
        <v>4827</v>
      </c>
      <c r="B4804">
        <v>395905</v>
      </c>
      <c r="C4804" s="2" t="str">
        <f>"UL5403"</f>
        <v>UL5403</v>
      </c>
      <c r="D4804" t="s">
        <v>4905</v>
      </c>
      <c r="E4804" t="s">
        <v>4</v>
      </c>
      <c r="F4804">
        <v>4</v>
      </c>
      <c r="H4804" t="s">
        <v>5</v>
      </c>
      <c r="I4804" s="1">
        <v>67.67</v>
      </c>
      <c r="J4804" s="1">
        <v>67.67</v>
      </c>
      <c r="K4804" t="s">
        <v>6</v>
      </c>
    </row>
    <row r="4805" spans="1:12">
      <c r="A4805" t="s">
        <v>4827</v>
      </c>
      <c r="B4805">
        <v>395900</v>
      </c>
      <c r="C4805" s="2" t="str">
        <f>"UL5405"</f>
        <v>UL5405</v>
      </c>
      <c r="D4805" t="s">
        <v>4906</v>
      </c>
      <c r="E4805" t="s">
        <v>4</v>
      </c>
      <c r="F4805">
        <v>4</v>
      </c>
      <c r="H4805" t="s">
        <v>5</v>
      </c>
      <c r="I4805" s="1">
        <v>67.67</v>
      </c>
      <c r="J4805" s="1">
        <v>67.67</v>
      </c>
      <c r="K4805" t="s">
        <v>6</v>
      </c>
    </row>
    <row r="4806" spans="1:12">
      <c r="A4806" t="s">
        <v>4907</v>
      </c>
      <c r="B4806">
        <v>506791</v>
      </c>
      <c r="C4806" s="2" t="str">
        <f>"A437FW"</f>
        <v>A437FW</v>
      </c>
      <c r="D4806" t="s">
        <v>4908</v>
      </c>
      <c r="E4806" t="s">
        <v>4</v>
      </c>
      <c r="F4806">
        <v>17</v>
      </c>
      <c r="H4806" t="s">
        <v>5</v>
      </c>
      <c r="I4806" s="1">
        <v>35.1</v>
      </c>
      <c r="J4806" s="1">
        <v>35.1</v>
      </c>
      <c r="K4806" t="s">
        <v>6</v>
      </c>
    </row>
    <row r="4807" spans="1:12">
      <c r="A4807" t="s">
        <v>4907</v>
      </c>
      <c r="B4807">
        <v>507605</v>
      </c>
      <c r="C4807" s="2" t="str">
        <f>"A580FW"</f>
        <v>A580FW</v>
      </c>
      <c r="D4807" t="s">
        <v>4909</v>
      </c>
      <c r="E4807" t="s">
        <v>4</v>
      </c>
      <c r="F4807">
        <v>22.7</v>
      </c>
      <c r="H4807" t="s">
        <v>5</v>
      </c>
      <c r="I4807" s="1">
        <v>45.79</v>
      </c>
      <c r="J4807" s="1">
        <v>45.79</v>
      </c>
      <c r="K4807" t="s">
        <v>6</v>
      </c>
    </row>
    <row r="4808" spans="1:12">
      <c r="A4808" t="s">
        <v>4907</v>
      </c>
      <c r="B4808">
        <v>506792</v>
      </c>
      <c r="C4808" s="2" t="str">
        <f>"A630FW"</f>
        <v>A630FW</v>
      </c>
      <c r="D4808" t="s">
        <v>4910</v>
      </c>
      <c r="E4808" t="s">
        <v>4</v>
      </c>
      <c r="F4808">
        <v>17</v>
      </c>
      <c r="H4808" t="s">
        <v>5</v>
      </c>
      <c r="I4808" s="1">
        <v>35.1</v>
      </c>
      <c r="J4808" s="1">
        <v>35.1</v>
      </c>
      <c r="K4808" t="s">
        <v>6</v>
      </c>
    </row>
    <row r="4809" spans="1:12">
      <c r="A4809" t="s">
        <v>4907</v>
      </c>
      <c r="B4809">
        <v>442887</v>
      </c>
      <c r="C4809" s="2" t="str">
        <f>"D11000"</f>
        <v>D11000</v>
      </c>
      <c r="D4809" t="s">
        <v>4911</v>
      </c>
      <c r="E4809" t="s">
        <v>4</v>
      </c>
      <c r="F4809">
        <v>8.9</v>
      </c>
      <c r="H4809" t="s">
        <v>5</v>
      </c>
      <c r="I4809" s="1">
        <v>24.05</v>
      </c>
      <c r="J4809" s="1">
        <v>24.05</v>
      </c>
      <c r="K4809" t="s">
        <v>6</v>
      </c>
    </row>
    <row r="4810" spans="1:12">
      <c r="A4810" t="s">
        <v>4907</v>
      </c>
      <c r="B4810">
        <v>442886</v>
      </c>
      <c r="C4810" s="2" t="str">
        <f>"D11055"</f>
        <v>D11055</v>
      </c>
      <c r="D4810" t="s">
        <v>4912</v>
      </c>
      <c r="E4810" t="s">
        <v>4</v>
      </c>
      <c r="F4810">
        <v>7.8</v>
      </c>
      <c r="H4810" t="s">
        <v>5</v>
      </c>
      <c r="I4810" s="1">
        <v>25.35</v>
      </c>
      <c r="J4810" s="1">
        <v>25.35</v>
      </c>
      <c r="K4810" t="s">
        <v>6</v>
      </c>
    </row>
    <row r="4811" spans="1:12">
      <c r="A4811" t="s">
        <v>4907</v>
      </c>
      <c r="B4811">
        <v>442881</v>
      </c>
      <c r="C4811" s="2" t="str">
        <f>"D43800"</f>
        <v>D43800</v>
      </c>
      <c r="D4811" t="s">
        <v>4913</v>
      </c>
      <c r="E4811" t="s">
        <v>4</v>
      </c>
      <c r="F4811">
        <v>10</v>
      </c>
      <c r="H4811" t="s">
        <v>5</v>
      </c>
      <c r="I4811" s="1">
        <v>42.25</v>
      </c>
      <c r="J4811" s="1">
        <v>42.25</v>
      </c>
      <c r="K4811" t="s">
        <v>6</v>
      </c>
    </row>
    <row r="4812" spans="1:12">
      <c r="A4812" t="s">
        <v>4907</v>
      </c>
      <c r="B4812">
        <v>558443</v>
      </c>
      <c r="C4812" s="2" t="str">
        <f>"M924SH"</f>
        <v>M924SH</v>
      </c>
      <c r="D4812" t="s">
        <v>4914</v>
      </c>
      <c r="E4812" t="s">
        <v>4</v>
      </c>
      <c r="F4812">
        <v>16.899999999999999</v>
      </c>
      <c r="H4812" t="s">
        <v>5</v>
      </c>
      <c r="I4812" s="1">
        <v>55.58</v>
      </c>
      <c r="J4812" s="1">
        <v>55.58</v>
      </c>
      <c r="K4812" t="s">
        <v>6</v>
      </c>
    </row>
    <row r="4813" spans="1:12">
      <c r="A4813" t="s">
        <v>4907</v>
      </c>
      <c r="B4813">
        <v>510649</v>
      </c>
      <c r="C4813" s="2" t="str">
        <f>"P92084"</f>
        <v>P92084</v>
      </c>
      <c r="D4813" t="s">
        <v>4915</v>
      </c>
      <c r="E4813" t="s">
        <v>4</v>
      </c>
      <c r="F4813">
        <v>15.89</v>
      </c>
      <c r="H4813" t="s">
        <v>5</v>
      </c>
      <c r="I4813" s="1">
        <v>49.14</v>
      </c>
      <c r="J4813" s="1">
        <v>49.14</v>
      </c>
      <c r="K4813" t="s">
        <v>6</v>
      </c>
    </row>
    <row r="4814" spans="1:12">
      <c r="A4814" t="s">
        <v>4907</v>
      </c>
      <c r="B4814">
        <v>442876</v>
      </c>
      <c r="C4814" s="2" t="str">
        <f>"Q94384"</f>
        <v>Q94384</v>
      </c>
      <c r="D4814" t="s">
        <v>4916</v>
      </c>
      <c r="E4814" t="s">
        <v>4</v>
      </c>
      <c r="F4814">
        <v>18.899999999999999</v>
      </c>
      <c r="H4814" t="s">
        <v>5</v>
      </c>
      <c r="I4814" s="1">
        <v>40.700000000000003</v>
      </c>
      <c r="J4814" s="1">
        <v>40.700000000000003</v>
      </c>
      <c r="K4814" t="s">
        <v>6</v>
      </c>
    </row>
    <row r="4815" spans="1:12">
      <c r="A4815" t="s">
        <v>4917</v>
      </c>
      <c r="B4815">
        <v>392735</v>
      </c>
      <c r="C4815" s="2" t="str">
        <f>"NPL61000003"</f>
        <v>NPL61000003</v>
      </c>
      <c r="D4815" t="s">
        <v>4918</v>
      </c>
      <c r="E4815" t="s">
        <v>4</v>
      </c>
      <c r="F4815">
        <v>12.5</v>
      </c>
      <c r="H4815" t="s">
        <v>5</v>
      </c>
      <c r="I4815" s="1">
        <v>30.91</v>
      </c>
      <c r="J4815" s="1">
        <v>30.16</v>
      </c>
      <c r="K4815" t="s">
        <v>6</v>
      </c>
    </row>
    <row r="4816" spans="1:12">
      <c r="A4816" t="s">
        <v>4917</v>
      </c>
      <c r="B4816">
        <v>392742</v>
      </c>
      <c r="C4816" s="2" t="str">
        <f>"NPL61000004"</f>
        <v>NPL61000004</v>
      </c>
      <c r="D4816" t="s">
        <v>4919</v>
      </c>
      <c r="E4816" t="s">
        <v>4</v>
      </c>
      <c r="F4816">
        <v>12.5</v>
      </c>
      <c r="H4816" t="s">
        <v>5</v>
      </c>
      <c r="I4816" s="1">
        <v>30.91</v>
      </c>
      <c r="J4816" s="1">
        <v>30.16</v>
      </c>
      <c r="K4816" t="s">
        <v>6</v>
      </c>
    </row>
    <row r="4817" spans="1:11">
      <c r="A4817" t="s">
        <v>4917</v>
      </c>
      <c r="B4817">
        <v>392746</v>
      </c>
      <c r="C4817" s="2" t="str">
        <f>"NPL61000008"</f>
        <v>NPL61000008</v>
      </c>
      <c r="D4817" t="s">
        <v>4920</v>
      </c>
      <c r="E4817" t="s">
        <v>4</v>
      </c>
      <c r="F4817">
        <v>12.5</v>
      </c>
      <c r="H4817" t="s">
        <v>5</v>
      </c>
      <c r="I4817" s="1">
        <v>30.91</v>
      </c>
      <c r="J4817" s="1">
        <v>30.16</v>
      </c>
      <c r="K4817" t="s">
        <v>6</v>
      </c>
    </row>
    <row r="4818" spans="1:11">
      <c r="A4818" t="s">
        <v>4917</v>
      </c>
      <c r="B4818">
        <v>392749</v>
      </c>
      <c r="C4818" s="2" t="str">
        <f>"NPL61000042"</f>
        <v>NPL61000042</v>
      </c>
      <c r="D4818" t="s">
        <v>4921</v>
      </c>
      <c r="E4818" t="s">
        <v>4</v>
      </c>
      <c r="F4818">
        <v>12.5</v>
      </c>
      <c r="H4818" t="s">
        <v>5</v>
      </c>
      <c r="I4818" s="1">
        <v>30.91</v>
      </c>
      <c r="J4818" s="1">
        <v>30.16</v>
      </c>
      <c r="K4818" t="s">
        <v>6</v>
      </c>
    </row>
    <row r="4819" spans="1:11">
      <c r="A4819" t="s">
        <v>4917</v>
      </c>
      <c r="B4819">
        <v>392745</v>
      </c>
      <c r="C4819" s="2" t="str">
        <f>"NPL61000078"</f>
        <v>NPL61000078</v>
      </c>
      <c r="D4819" t="s">
        <v>4922</v>
      </c>
      <c r="E4819" t="s">
        <v>4</v>
      </c>
      <c r="F4819">
        <v>12.5</v>
      </c>
      <c r="H4819" t="s">
        <v>5</v>
      </c>
      <c r="I4819" s="1">
        <v>30.91</v>
      </c>
      <c r="J4819" s="1">
        <v>30.16</v>
      </c>
      <c r="K4819" t="s">
        <v>6</v>
      </c>
    </row>
    <row r="4820" spans="1:11">
      <c r="A4820" t="s">
        <v>4917</v>
      </c>
      <c r="B4820">
        <v>392743</v>
      </c>
      <c r="C4820" s="2" t="str">
        <f>"NPL61000095"</f>
        <v>NPL61000095</v>
      </c>
      <c r="D4820" t="s">
        <v>4923</v>
      </c>
      <c r="E4820" t="s">
        <v>4</v>
      </c>
      <c r="F4820">
        <v>12.5</v>
      </c>
      <c r="H4820" t="s">
        <v>5</v>
      </c>
      <c r="I4820" s="1">
        <v>30.91</v>
      </c>
      <c r="J4820" s="1">
        <v>30.16</v>
      </c>
      <c r="K4820" t="s">
        <v>6</v>
      </c>
    </row>
    <row r="4821" spans="1:11">
      <c r="A4821" t="s">
        <v>4917</v>
      </c>
      <c r="B4821">
        <v>396692</v>
      </c>
      <c r="C4821" s="2" t="str">
        <f>"NPL61500001"</f>
        <v>NPL61500001</v>
      </c>
      <c r="D4821" t="s">
        <v>4924</v>
      </c>
      <c r="E4821" t="s">
        <v>4</v>
      </c>
      <c r="F4821">
        <v>18.2</v>
      </c>
      <c r="H4821" t="s">
        <v>5</v>
      </c>
      <c r="I4821" s="1">
        <v>45.31</v>
      </c>
      <c r="J4821" s="1">
        <v>44.2</v>
      </c>
      <c r="K4821" t="s">
        <v>6</v>
      </c>
    </row>
    <row r="4822" spans="1:11">
      <c r="A4822" t="s">
        <v>4917</v>
      </c>
      <c r="B4822">
        <v>396693</v>
      </c>
      <c r="C4822" s="2" t="str">
        <f>"NPL61500016"</f>
        <v>NPL61500016</v>
      </c>
      <c r="D4822" t="s">
        <v>4925</v>
      </c>
      <c r="E4822" t="s">
        <v>4</v>
      </c>
      <c r="F4822">
        <v>18.2</v>
      </c>
      <c r="H4822" t="s">
        <v>5</v>
      </c>
      <c r="I4822" s="1">
        <v>45.31</v>
      </c>
      <c r="J4822" s="1">
        <v>44.2</v>
      </c>
      <c r="K4822" t="s">
        <v>6</v>
      </c>
    </row>
    <row r="4823" spans="1:11">
      <c r="A4823" t="s">
        <v>4917</v>
      </c>
      <c r="B4823">
        <v>396695</v>
      </c>
      <c r="C4823" s="2" t="str">
        <f>"NPL61800010"</f>
        <v>NPL61800010</v>
      </c>
      <c r="D4823" t="s">
        <v>4926</v>
      </c>
      <c r="E4823" t="s">
        <v>4</v>
      </c>
      <c r="F4823">
        <v>15.2</v>
      </c>
      <c r="H4823" t="s">
        <v>5</v>
      </c>
      <c r="I4823" s="1">
        <v>30.25</v>
      </c>
      <c r="J4823" s="1">
        <v>29.51</v>
      </c>
      <c r="K4823" t="s">
        <v>6</v>
      </c>
    </row>
    <row r="4824" spans="1:11">
      <c r="A4824" t="s">
        <v>4917</v>
      </c>
      <c r="B4824">
        <v>396694</v>
      </c>
      <c r="C4824" s="2" t="str">
        <f>"NPL61800014"</f>
        <v>NPL61800014</v>
      </c>
      <c r="D4824" t="s">
        <v>4927</v>
      </c>
      <c r="E4824" t="s">
        <v>4</v>
      </c>
      <c r="F4824">
        <v>15.2</v>
      </c>
      <c r="H4824" t="s">
        <v>5</v>
      </c>
      <c r="I4824" s="1">
        <v>30.25</v>
      </c>
      <c r="J4824" s="1">
        <v>29.51</v>
      </c>
      <c r="K4824" t="s">
        <v>6</v>
      </c>
    </row>
    <row r="4825" spans="1:11">
      <c r="A4825" t="s">
        <v>4928</v>
      </c>
      <c r="B4825">
        <v>521390</v>
      </c>
      <c r="C4825" s="2" t="str">
        <f>"10"</f>
        <v>10</v>
      </c>
      <c r="D4825" t="s">
        <v>4929</v>
      </c>
      <c r="E4825" t="s">
        <v>4</v>
      </c>
      <c r="F4825">
        <v>11</v>
      </c>
      <c r="H4825" t="s">
        <v>5</v>
      </c>
      <c r="I4825" s="1">
        <v>86.45</v>
      </c>
      <c r="J4825" s="1">
        <v>72.930000000000007</v>
      </c>
      <c r="K4825" t="s">
        <v>6</v>
      </c>
    </row>
    <row r="4826" spans="1:11">
      <c r="A4826" t="s">
        <v>4928</v>
      </c>
      <c r="B4826">
        <v>521388</v>
      </c>
      <c r="C4826" s="2" t="str">
        <f>"128"</f>
        <v>128</v>
      </c>
      <c r="D4826" t="s">
        <v>4930</v>
      </c>
      <c r="E4826" t="s">
        <v>4</v>
      </c>
      <c r="F4826">
        <v>38</v>
      </c>
      <c r="H4826" t="s">
        <v>5</v>
      </c>
      <c r="I4826" s="1">
        <v>107.9</v>
      </c>
      <c r="J4826" s="1">
        <v>91.49</v>
      </c>
      <c r="K4826" t="s">
        <v>6</v>
      </c>
    </row>
    <row r="4827" spans="1:11">
      <c r="A4827" t="s">
        <v>4928</v>
      </c>
      <c r="B4827">
        <v>521389</v>
      </c>
      <c r="C4827" s="2" t="str">
        <f>"32"</f>
        <v>32</v>
      </c>
      <c r="D4827" t="s">
        <v>4931</v>
      </c>
      <c r="E4827" t="s">
        <v>4</v>
      </c>
      <c r="F4827">
        <v>32</v>
      </c>
      <c r="H4827" t="s">
        <v>5</v>
      </c>
      <c r="I4827" s="1">
        <v>119.6</v>
      </c>
      <c r="J4827" s="1">
        <v>102.1</v>
      </c>
      <c r="K4827" t="s">
        <v>6</v>
      </c>
    </row>
    <row r="4828" spans="1:11">
      <c r="A4828" t="s">
        <v>4932</v>
      </c>
      <c r="B4828">
        <v>388037</v>
      </c>
      <c r="C4828" s="2" t="str">
        <f>"00156"</f>
        <v>00156</v>
      </c>
      <c r="D4828" t="s">
        <v>4933</v>
      </c>
      <c r="E4828" t="s">
        <v>4</v>
      </c>
      <c r="F4828">
        <v>6</v>
      </c>
      <c r="H4828" t="s">
        <v>5</v>
      </c>
      <c r="I4828" s="1">
        <v>57.98</v>
      </c>
      <c r="J4828" s="1">
        <v>56.6</v>
      </c>
      <c r="K4828" t="s">
        <v>6</v>
      </c>
    </row>
    <row r="4829" spans="1:11">
      <c r="A4829" t="s">
        <v>4932</v>
      </c>
      <c r="B4829">
        <v>437206</v>
      </c>
      <c r="C4829" s="2" t="str">
        <f>"03496"</f>
        <v>03496</v>
      </c>
      <c r="D4829" t="s">
        <v>4934</v>
      </c>
      <c r="E4829" t="s">
        <v>4</v>
      </c>
      <c r="F4829">
        <v>5</v>
      </c>
      <c r="H4829" t="s">
        <v>5</v>
      </c>
      <c r="I4829" s="1">
        <v>44.4</v>
      </c>
      <c r="J4829" s="1">
        <v>43.33</v>
      </c>
      <c r="K4829" t="s">
        <v>6</v>
      </c>
    </row>
    <row r="4830" spans="1:11">
      <c r="A4830" t="s">
        <v>4932</v>
      </c>
      <c r="B4830">
        <v>494216</v>
      </c>
      <c r="C4830" s="2" t="str">
        <f>"03509"</f>
        <v>03509</v>
      </c>
      <c r="D4830" t="s">
        <v>4935</v>
      </c>
      <c r="E4830" t="s">
        <v>4</v>
      </c>
      <c r="F4830">
        <v>5</v>
      </c>
      <c r="H4830" t="s">
        <v>5</v>
      </c>
      <c r="I4830" s="1">
        <v>131.53</v>
      </c>
      <c r="J4830" s="1">
        <v>128.4</v>
      </c>
      <c r="K4830" t="s">
        <v>6</v>
      </c>
    </row>
    <row r="4831" spans="1:11">
      <c r="A4831" t="s">
        <v>4932</v>
      </c>
      <c r="B4831">
        <v>380532</v>
      </c>
      <c r="C4831" s="2" t="str">
        <f>"16683"</f>
        <v>16683</v>
      </c>
      <c r="D4831" t="s">
        <v>4936</v>
      </c>
      <c r="E4831" t="s">
        <v>4</v>
      </c>
      <c r="F4831">
        <v>2.5</v>
      </c>
      <c r="H4831" t="s">
        <v>5</v>
      </c>
      <c r="I4831" s="1">
        <v>20.64</v>
      </c>
      <c r="J4831" s="1">
        <v>20.149999999999999</v>
      </c>
      <c r="K4831" t="s">
        <v>6</v>
      </c>
    </row>
    <row r="4832" spans="1:11">
      <c r="A4832" t="s">
        <v>4932</v>
      </c>
      <c r="B4832">
        <v>380558</v>
      </c>
      <c r="C4832" s="2" t="str">
        <f>"16685"</f>
        <v>16685</v>
      </c>
      <c r="D4832" t="s">
        <v>4937</v>
      </c>
      <c r="E4832" t="s">
        <v>4</v>
      </c>
      <c r="F4832">
        <v>2.5</v>
      </c>
      <c r="H4832" t="s">
        <v>5</v>
      </c>
      <c r="I4832" s="1">
        <v>20.64</v>
      </c>
      <c r="J4832" s="1">
        <v>20.149999999999999</v>
      </c>
      <c r="K4832" t="s">
        <v>6</v>
      </c>
    </row>
    <row r="4833" spans="1:12">
      <c r="A4833" t="s">
        <v>4932</v>
      </c>
      <c r="B4833">
        <v>380559</v>
      </c>
      <c r="C4833" s="2" t="str">
        <f>"16687"</f>
        <v>16687</v>
      </c>
      <c r="D4833" t="s">
        <v>4938</v>
      </c>
      <c r="E4833" t="s">
        <v>4</v>
      </c>
      <c r="F4833">
        <v>2.5</v>
      </c>
      <c r="H4833" t="s">
        <v>5</v>
      </c>
      <c r="I4833" s="1">
        <v>20.64</v>
      </c>
      <c r="J4833" s="1">
        <v>20.149999999999999</v>
      </c>
      <c r="K4833" t="s">
        <v>6</v>
      </c>
    </row>
    <row r="4834" spans="1:12">
      <c r="A4834" t="s">
        <v>4932</v>
      </c>
      <c r="B4834">
        <v>380565</v>
      </c>
      <c r="C4834" s="2" t="str">
        <f>"17526"</f>
        <v>17526</v>
      </c>
      <c r="D4834" t="s">
        <v>4939</v>
      </c>
      <c r="E4834" t="s">
        <v>4</v>
      </c>
      <c r="F4834">
        <v>1</v>
      </c>
      <c r="H4834" t="s">
        <v>5</v>
      </c>
      <c r="I4834" s="1">
        <v>16.739999999999998</v>
      </c>
      <c r="J4834" s="1">
        <v>16.350000000000001</v>
      </c>
      <c r="K4834" t="s">
        <v>6</v>
      </c>
    </row>
    <row r="4835" spans="1:12">
      <c r="A4835" t="s">
        <v>4932</v>
      </c>
      <c r="B4835">
        <v>380566</v>
      </c>
      <c r="C4835" s="2" t="str">
        <f>"17527"</f>
        <v>17527</v>
      </c>
      <c r="D4835" t="s">
        <v>4940</v>
      </c>
      <c r="E4835" t="s">
        <v>4</v>
      </c>
      <c r="F4835">
        <v>1</v>
      </c>
      <c r="H4835" t="s">
        <v>5</v>
      </c>
      <c r="I4835" s="1">
        <v>29.9</v>
      </c>
      <c r="J4835" s="1">
        <v>29.19</v>
      </c>
      <c r="K4835" t="s">
        <v>6</v>
      </c>
    </row>
    <row r="4836" spans="1:12">
      <c r="A4836" t="s">
        <v>4932</v>
      </c>
      <c r="B4836">
        <v>483193</v>
      </c>
      <c r="C4836" s="2" t="str">
        <f>"26158"</f>
        <v>26158</v>
      </c>
      <c r="D4836" t="s">
        <v>4941</v>
      </c>
      <c r="E4836" t="s">
        <v>4</v>
      </c>
      <c r="F4836">
        <v>3.5</v>
      </c>
      <c r="H4836" t="s">
        <v>5</v>
      </c>
      <c r="I4836" s="1">
        <v>119.57</v>
      </c>
      <c r="J4836" s="1">
        <v>116.73</v>
      </c>
      <c r="K4836" t="s">
        <v>6</v>
      </c>
    </row>
    <row r="4837" spans="1:12">
      <c r="A4837" t="s">
        <v>4932</v>
      </c>
      <c r="B4837">
        <v>380992</v>
      </c>
      <c r="C4837" s="2" t="str">
        <f>"30534"</f>
        <v>30534</v>
      </c>
      <c r="D4837" t="s">
        <v>4942</v>
      </c>
      <c r="E4837" t="s">
        <v>4</v>
      </c>
      <c r="F4837">
        <v>4.5</v>
      </c>
      <c r="H4837" t="s">
        <v>5</v>
      </c>
      <c r="I4837" s="1">
        <v>28.5</v>
      </c>
      <c r="J4837" s="1">
        <v>27.82</v>
      </c>
      <c r="K4837" t="s">
        <v>6</v>
      </c>
    </row>
    <row r="4838" spans="1:12">
      <c r="A4838" t="s">
        <v>4932</v>
      </c>
      <c r="B4838">
        <v>380585</v>
      </c>
      <c r="C4838" s="2" t="str">
        <f>"30545"</f>
        <v>30545</v>
      </c>
      <c r="D4838" t="s">
        <v>4943</v>
      </c>
      <c r="E4838" t="s">
        <v>4</v>
      </c>
      <c r="F4838">
        <v>21</v>
      </c>
      <c r="H4838" t="s">
        <v>5</v>
      </c>
      <c r="I4838" s="1">
        <v>109.33</v>
      </c>
      <c r="J4838" s="1">
        <v>106.73</v>
      </c>
      <c r="K4838" t="s">
        <v>6</v>
      </c>
    </row>
    <row r="4839" spans="1:12">
      <c r="A4839" t="s">
        <v>4944</v>
      </c>
      <c r="B4839">
        <v>446488</v>
      </c>
      <c r="C4839" s="2" t="str">
        <f>"11-10093"</f>
        <v>11-10093</v>
      </c>
      <c r="D4839" t="s">
        <v>4945</v>
      </c>
      <c r="E4839" t="s">
        <v>4</v>
      </c>
      <c r="F4839">
        <v>11.53</v>
      </c>
      <c r="H4839" t="s">
        <v>5</v>
      </c>
      <c r="I4839" s="1">
        <v>20.149999999999999</v>
      </c>
      <c r="J4839" s="1">
        <v>19.5</v>
      </c>
      <c r="K4839" t="s">
        <v>6</v>
      </c>
    </row>
    <row r="4840" spans="1:12">
      <c r="A4840" t="s">
        <v>4944</v>
      </c>
      <c r="B4840">
        <v>446487</v>
      </c>
      <c r="C4840" s="2" t="str">
        <f>"11-10096"</f>
        <v>11-10096</v>
      </c>
      <c r="D4840" t="s">
        <v>4946</v>
      </c>
      <c r="E4840" t="s">
        <v>4</v>
      </c>
      <c r="F4840">
        <v>11.75</v>
      </c>
      <c r="H4840" t="s">
        <v>5</v>
      </c>
      <c r="I4840" s="1">
        <v>19.46</v>
      </c>
      <c r="J4840" s="1">
        <v>18.809999999999999</v>
      </c>
      <c r="K4840" t="s">
        <v>6</v>
      </c>
    </row>
    <row r="4841" spans="1:12">
      <c r="A4841" t="s">
        <v>4944</v>
      </c>
      <c r="B4841">
        <v>459753</v>
      </c>
      <c r="C4841" s="2" t="str">
        <f>"11-10104"</f>
        <v>11-10104</v>
      </c>
      <c r="D4841" t="s">
        <v>4947</v>
      </c>
      <c r="E4841" t="s">
        <v>4</v>
      </c>
      <c r="F4841">
        <v>15.23</v>
      </c>
      <c r="H4841" t="s">
        <v>5</v>
      </c>
      <c r="I4841" s="1">
        <v>27.35</v>
      </c>
      <c r="J4841" s="1">
        <v>26.7</v>
      </c>
      <c r="K4841" t="s">
        <v>6</v>
      </c>
    </row>
    <row r="4842" spans="1:12">
      <c r="A4842" t="s">
        <v>4944</v>
      </c>
      <c r="B4842">
        <v>470593</v>
      </c>
      <c r="C4842" s="2" t="str">
        <f>"11-10110"</f>
        <v>11-10110</v>
      </c>
      <c r="D4842" t="s">
        <v>4948</v>
      </c>
      <c r="E4842" t="s">
        <v>4</v>
      </c>
      <c r="F4842">
        <v>20.57</v>
      </c>
      <c r="H4842" t="s">
        <v>5</v>
      </c>
      <c r="I4842" s="1">
        <v>38.06</v>
      </c>
      <c r="J4842" s="1">
        <v>37.409999999999997</v>
      </c>
      <c r="K4842" t="s">
        <v>6</v>
      </c>
    </row>
    <row r="4843" spans="1:12">
      <c r="A4843" t="s">
        <v>4944</v>
      </c>
      <c r="B4843">
        <v>484261</v>
      </c>
      <c r="C4843" s="2" t="str">
        <f>"11-10395"</f>
        <v>11-10395</v>
      </c>
      <c r="D4843" t="s">
        <v>4949</v>
      </c>
      <c r="E4843" t="s">
        <v>4</v>
      </c>
      <c r="F4843">
        <v>9</v>
      </c>
      <c r="H4843" t="s">
        <v>5</v>
      </c>
      <c r="I4843" s="1">
        <v>16.8</v>
      </c>
      <c r="J4843" s="1">
        <v>16.149999999999999</v>
      </c>
      <c r="K4843" t="s">
        <v>6</v>
      </c>
    </row>
    <row r="4844" spans="1:12">
      <c r="A4844" t="s">
        <v>4944</v>
      </c>
      <c r="B4844">
        <v>485935</v>
      </c>
      <c r="C4844" s="2" t="str">
        <f>"11-10496"</f>
        <v>11-10496</v>
      </c>
      <c r="D4844" t="s">
        <v>4950</v>
      </c>
      <c r="E4844" t="s">
        <v>4</v>
      </c>
      <c r="F4844">
        <v>11.75</v>
      </c>
      <c r="H4844" t="s">
        <v>5</v>
      </c>
      <c r="I4844" s="1">
        <v>23.58</v>
      </c>
      <c r="J4844" s="1">
        <v>22.93</v>
      </c>
      <c r="K4844" t="s">
        <v>6</v>
      </c>
    </row>
    <row r="4845" spans="1:12">
      <c r="A4845" t="s">
        <v>4944</v>
      </c>
      <c r="B4845">
        <v>539288</v>
      </c>
      <c r="C4845" s="2" t="str">
        <f>"11-11121"</f>
        <v>11-11121</v>
      </c>
      <c r="D4845" t="s">
        <v>4951</v>
      </c>
      <c r="E4845" t="s">
        <v>4</v>
      </c>
      <c r="F4845">
        <v>7.75</v>
      </c>
      <c r="H4845" t="s">
        <v>5</v>
      </c>
      <c r="I4845" s="1">
        <v>13.59</v>
      </c>
      <c r="J4845" s="1">
        <v>12.94</v>
      </c>
      <c r="K4845" t="s">
        <v>6</v>
      </c>
    </row>
    <row r="4846" spans="1:12">
      <c r="A4846" t="s">
        <v>4944</v>
      </c>
      <c r="B4846">
        <v>549012</v>
      </c>
      <c r="C4846" s="2" t="str">
        <f>"14-10594"</f>
        <v>14-10594</v>
      </c>
      <c r="D4846" t="s">
        <v>4952</v>
      </c>
      <c r="E4846" t="s">
        <v>4</v>
      </c>
      <c r="F4846">
        <v>4.32</v>
      </c>
      <c r="H4846" t="s">
        <v>5</v>
      </c>
      <c r="I4846" s="1">
        <v>8.3699999999999992</v>
      </c>
      <c r="J4846" s="1">
        <v>7.72</v>
      </c>
      <c r="K4846" t="s">
        <v>6</v>
      </c>
    </row>
    <row r="4847" spans="1:12">
      <c r="A4847" t="s">
        <v>4944</v>
      </c>
      <c r="B4847">
        <v>462362</v>
      </c>
      <c r="C4847" s="2" t="str">
        <f>"19-10008"</f>
        <v>19-10008</v>
      </c>
      <c r="D4847" t="s">
        <v>4953</v>
      </c>
      <c r="E4847" t="s">
        <v>4</v>
      </c>
      <c r="F4847">
        <v>27</v>
      </c>
      <c r="G4847">
        <v>6.75</v>
      </c>
      <c r="H4847" t="s">
        <v>153</v>
      </c>
      <c r="I4847" s="1">
        <v>30.06</v>
      </c>
      <c r="J4847" s="1">
        <v>29.9</v>
      </c>
      <c r="K4847" t="s">
        <v>457</v>
      </c>
      <c r="L4847" s="1">
        <v>32.89</v>
      </c>
    </row>
    <row r="4848" spans="1:12">
      <c r="A4848" t="s">
        <v>4944</v>
      </c>
      <c r="B4848">
        <v>406707</v>
      </c>
      <c r="C4848" s="2" t="str">
        <f>"C242406N"</f>
        <v>C242406N</v>
      </c>
      <c r="D4848" t="s">
        <v>4954</v>
      </c>
      <c r="E4848" t="s">
        <v>4</v>
      </c>
      <c r="F4848">
        <v>9.1</v>
      </c>
      <c r="H4848" t="s">
        <v>5</v>
      </c>
      <c r="I4848" s="1">
        <v>15.56</v>
      </c>
      <c r="J4848" s="1">
        <v>15.48</v>
      </c>
      <c r="K4848" t="s">
        <v>6</v>
      </c>
    </row>
    <row r="4849" spans="1:11">
      <c r="A4849" t="s">
        <v>4944</v>
      </c>
      <c r="B4849">
        <v>406706</v>
      </c>
      <c r="C4849" s="2" t="str">
        <f>"C243306N"</f>
        <v>C243306N</v>
      </c>
      <c r="D4849" t="s">
        <v>4955</v>
      </c>
      <c r="E4849" t="s">
        <v>4</v>
      </c>
      <c r="F4849">
        <v>12.5</v>
      </c>
      <c r="H4849" t="s">
        <v>5</v>
      </c>
      <c r="I4849" s="1">
        <v>21.38</v>
      </c>
      <c r="J4849" s="1">
        <v>21.28</v>
      </c>
      <c r="K4849" t="s">
        <v>6</v>
      </c>
    </row>
    <row r="4850" spans="1:11">
      <c r="A4850" t="s">
        <v>4944</v>
      </c>
      <c r="B4850">
        <v>406701</v>
      </c>
      <c r="C4850" s="2" t="str">
        <f>"C243308N"</f>
        <v>C243308N</v>
      </c>
      <c r="D4850" t="s">
        <v>4956</v>
      </c>
      <c r="E4850" t="s">
        <v>4</v>
      </c>
      <c r="F4850">
        <v>16.899999999999999</v>
      </c>
      <c r="H4850" t="s">
        <v>5</v>
      </c>
      <c r="I4850" s="1">
        <v>28.91</v>
      </c>
      <c r="J4850" s="1">
        <v>28.76</v>
      </c>
      <c r="K4850" t="s">
        <v>6</v>
      </c>
    </row>
    <row r="4851" spans="1:11">
      <c r="A4851" t="s">
        <v>4944</v>
      </c>
      <c r="B4851">
        <v>406703</v>
      </c>
      <c r="C4851" s="2" t="str">
        <f>"C303710N"</f>
        <v>C303710N</v>
      </c>
      <c r="D4851" t="s">
        <v>4957</v>
      </c>
      <c r="E4851" t="s">
        <v>4</v>
      </c>
      <c r="F4851">
        <v>14.9</v>
      </c>
      <c r="H4851" t="s">
        <v>5</v>
      </c>
      <c r="I4851" s="1">
        <v>25.49</v>
      </c>
      <c r="J4851" s="1">
        <v>25.36</v>
      </c>
      <c r="K4851" t="s">
        <v>6</v>
      </c>
    </row>
    <row r="4852" spans="1:11">
      <c r="A4852" t="s">
        <v>4944</v>
      </c>
      <c r="B4852">
        <v>406710</v>
      </c>
      <c r="C4852" s="2" t="str">
        <f>"C334011N"</f>
        <v>C334011N</v>
      </c>
      <c r="D4852" t="s">
        <v>4958</v>
      </c>
      <c r="E4852" t="s">
        <v>4</v>
      </c>
      <c r="F4852">
        <v>19.5</v>
      </c>
      <c r="H4852" t="s">
        <v>5</v>
      </c>
      <c r="I4852" s="1">
        <v>33.35</v>
      </c>
      <c r="J4852" s="1">
        <v>33.18</v>
      </c>
      <c r="K4852" t="s">
        <v>6</v>
      </c>
    </row>
    <row r="4853" spans="1:11">
      <c r="A4853" t="s">
        <v>4944</v>
      </c>
      <c r="B4853">
        <v>406708</v>
      </c>
      <c r="C4853" s="2" t="str">
        <f>"C334016N"</f>
        <v>C334016N</v>
      </c>
      <c r="D4853" t="s">
        <v>4959</v>
      </c>
      <c r="E4853" t="s">
        <v>4</v>
      </c>
      <c r="F4853">
        <v>14</v>
      </c>
      <c r="H4853" t="s">
        <v>5</v>
      </c>
      <c r="I4853" s="1">
        <v>23.94</v>
      </c>
      <c r="J4853" s="1">
        <v>23.82</v>
      </c>
      <c r="K4853" t="s">
        <v>6</v>
      </c>
    </row>
    <row r="4854" spans="1:11">
      <c r="A4854" t="s">
        <v>4944</v>
      </c>
      <c r="B4854">
        <v>407179</v>
      </c>
      <c r="C4854" s="2" t="str">
        <f>"C366017N"</f>
        <v>C366017N</v>
      </c>
      <c r="D4854" t="s">
        <v>4960</v>
      </c>
      <c r="E4854" t="s">
        <v>4</v>
      </c>
      <c r="F4854">
        <v>19.600000000000001</v>
      </c>
      <c r="H4854" t="s">
        <v>5</v>
      </c>
      <c r="I4854" s="1">
        <v>33.520000000000003</v>
      </c>
      <c r="J4854" s="1">
        <v>33.35</v>
      </c>
      <c r="K4854" t="s">
        <v>6</v>
      </c>
    </row>
    <row r="4855" spans="1:11">
      <c r="A4855" t="s">
        <v>4944</v>
      </c>
      <c r="B4855">
        <v>406704</v>
      </c>
      <c r="C4855" s="2" t="str">
        <f>"C386014N"</f>
        <v>C386014N</v>
      </c>
      <c r="D4855" t="s">
        <v>4961</v>
      </c>
      <c r="E4855" t="s">
        <v>4</v>
      </c>
      <c r="F4855">
        <v>17.2</v>
      </c>
      <c r="H4855" t="s">
        <v>5</v>
      </c>
      <c r="I4855" s="1">
        <v>29.42</v>
      </c>
      <c r="J4855" s="1">
        <v>29.27</v>
      </c>
      <c r="K4855" t="s">
        <v>6</v>
      </c>
    </row>
    <row r="4856" spans="1:11">
      <c r="A4856" t="s">
        <v>4944</v>
      </c>
      <c r="B4856">
        <v>406697</v>
      </c>
      <c r="C4856" s="2" t="str">
        <f>"C386017N"</f>
        <v>C386017N</v>
      </c>
      <c r="D4856" t="s">
        <v>4962</v>
      </c>
      <c r="E4856" t="s">
        <v>4</v>
      </c>
      <c r="F4856">
        <v>20.7</v>
      </c>
      <c r="H4856" t="s">
        <v>5</v>
      </c>
      <c r="I4856" s="1">
        <v>33.89</v>
      </c>
      <c r="J4856" s="1">
        <v>33.72</v>
      </c>
      <c r="K4856" t="s">
        <v>6</v>
      </c>
    </row>
    <row r="4857" spans="1:11">
      <c r="A4857" t="s">
        <v>4944</v>
      </c>
      <c r="B4857">
        <v>406702</v>
      </c>
      <c r="C4857" s="2" t="str">
        <f>"C404812N"</f>
        <v>C404812N</v>
      </c>
      <c r="D4857" t="s">
        <v>4963</v>
      </c>
      <c r="E4857" t="s">
        <v>4</v>
      </c>
      <c r="F4857">
        <v>15.5</v>
      </c>
      <c r="H4857" t="s">
        <v>5</v>
      </c>
      <c r="I4857" s="1">
        <v>26.51</v>
      </c>
      <c r="J4857" s="1">
        <v>26.37</v>
      </c>
      <c r="K4857" t="s">
        <v>6</v>
      </c>
    </row>
    <row r="4858" spans="1:11">
      <c r="A4858" t="s">
        <v>4944</v>
      </c>
      <c r="B4858">
        <v>406699</v>
      </c>
      <c r="C4858" s="2" t="str">
        <f>"C404816N"</f>
        <v>C404816N</v>
      </c>
      <c r="D4858" t="s">
        <v>4964</v>
      </c>
      <c r="E4858" t="s">
        <v>4</v>
      </c>
      <c r="F4858">
        <v>20.399999999999999</v>
      </c>
      <c r="H4858" t="s">
        <v>5</v>
      </c>
      <c r="I4858" s="1">
        <v>33.4</v>
      </c>
      <c r="J4858" s="1">
        <v>33.229999999999997</v>
      </c>
      <c r="K4858" t="s">
        <v>6</v>
      </c>
    </row>
    <row r="4859" spans="1:11">
      <c r="A4859" t="s">
        <v>4944</v>
      </c>
      <c r="B4859">
        <v>406705</v>
      </c>
      <c r="C4859" s="2" t="str">
        <f>"C434816N"</f>
        <v>C434816N</v>
      </c>
      <c r="D4859" t="s">
        <v>4965</v>
      </c>
      <c r="E4859" t="s">
        <v>4</v>
      </c>
      <c r="F4859">
        <v>17.600000000000001</v>
      </c>
      <c r="H4859" t="s">
        <v>5</v>
      </c>
      <c r="I4859" s="1">
        <v>30.1</v>
      </c>
      <c r="J4859" s="1">
        <v>29.95</v>
      </c>
      <c r="K4859" t="s">
        <v>6</v>
      </c>
    </row>
    <row r="4860" spans="1:11">
      <c r="A4860" t="s">
        <v>4966</v>
      </c>
      <c r="B4860">
        <v>466955</v>
      </c>
      <c r="C4860" s="2" t="str">
        <f>"1200AM"</f>
        <v>1200AM</v>
      </c>
      <c r="D4860" t="s">
        <v>4967</v>
      </c>
      <c r="E4860" t="s">
        <v>4</v>
      </c>
      <c r="F4860">
        <v>6</v>
      </c>
      <c r="H4860" t="s">
        <v>5</v>
      </c>
      <c r="I4860" s="1">
        <v>86.78</v>
      </c>
      <c r="J4860" s="1">
        <v>86.78</v>
      </c>
      <c r="K4860" t="s">
        <v>6</v>
      </c>
    </row>
    <row r="4861" spans="1:11">
      <c r="A4861" t="s">
        <v>4966</v>
      </c>
      <c r="B4861">
        <v>368015</v>
      </c>
      <c r="C4861" s="2" t="str">
        <f>"220"</f>
        <v>220</v>
      </c>
      <c r="D4861" t="s">
        <v>4968</v>
      </c>
      <c r="E4861" t="s">
        <v>4</v>
      </c>
      <c r="F4861">
        <v>28</v>
      </c>
      <c r="H4861" t="s">
        <v>5</v>
      </c>
      <c r="I4861" s="1">
        <v>71.790000000000006</v>
      </c>
      <c r="J4861" s="1">
        <v>71.41</v>
      </c>
      <c r="K4861" t="s">
        <v>6</v>
      </c>
    </row>
    <row r="4862" spans="1:11">
      <c r="A4862" t="s">
        <v>4966</v>
      </c>
      <c r="B4862">
        <v>367900</v>
      </c>
      <c r="C4862" s="2" t="str">
        <f>"221"</f>
        <v>221</v>
      </c>
      <c r="D4862" t="s">
        <v>4969</v>
      </c>
      <c r="E4862" t="s">
        <v>4</v>
      </c>
      <c r="F4862">
        <v>35.700000000000003</v>
      </c>
      <c r="H4862" t="s">
        <v>5</v>
      </c>
      <c r="I4862" s="1">
        <v>86.8</v>
      </c>
      <c r="J4862" s="1">
        <v>86.35</v>
      </c>
      <c r="K4862" t="s">
        <v>6</v>
      </c>
    </row>
    <row r="4863" spans="1:11">
      <c r="A4863" t="s">
        <v>4966</v>
      </c>
      <c r="B4863">
        <v>378930</v>
      </c>
      <c r="C4863" s="2" t="str">
        <f>"231RD"</f>
        <v>231RD</v>
      </c>
      <c r="D4863" t="s">
        <v>4970</v>
      </c>
      <c r="E4863" t="s">
        <v>4</v>
      </c>
      <c r="F4863">
        <v>15</v>
      </c>
      <c r="H4863" t="s">
        <v>5</v>
      </c>
      <c r="I4863" s="1">
        <v>34.67</v>
      </c>
      <c r="J4863" s="1">
        <v>34.479999999999997</v>
      </c>
      <c r="K4863" t="s">
        <v>6</v>
      </c>
    </row>
    <row r="4864" spans="1:11">
      <c r="A4864" t="s">
        <v>4966</v>
      </c>
      <c r="B4864">
        <v>565400</v>
      </c>
      <c r="C4864" s="2" t="str">
        <f>"232AM"</f>
        <v>232AM</v>
      </c>
      <c r="D4864" t="s">
        <v>4971</v>
      </c>
      <c r="E4864" t="s">
        <v>4</v>
      </c>
      <c r="F4864">
        <v>11.79</v>
      </c>
      <c r="H4864" t="s">
        <v>5</v>
      </c>
      <c r="I4864" s="1">
        <v>26.49</v>
      </c>
      <c r="J4864" s="1">
        <v>26.34</v>
      </c>
      <c r="K4864" t="s">
        <v>6</v>
      </c>
    </row>
    <row r="4865" spans="1:11">
      <c r="A4865" t="s">
        <v>4966</v>
      </c>
      <c r="B4865">
        <v>565398</v>
      </c>
      <c r="C4865" s="2" t="str">
        <f>"232FR"</f>
        <v>232FR</v>
      </c>
      <c r="D4865" t="s">
        <v>4972</v>
      </c>
      <c r="E4865" t="s">
        <v>4</v>
      </c>
      <c r="F4865">
        <v>11.8</v>
      </c>
      <c r="H4865" t="s">
        <v>5</v>
      </c>
      <c r="I4865" s="1">
        <v>26.49</v>
      </c>
      <c r="J4865" s="1">
        <v>26.34</v>
      </c>
      <c r="K4865" t="s">
        <v>6</v>
      </c>
    </row>
    <row r="4866" spans="1:11">
      <c r="A4866" t="s">
        <v>4966</v>
      </c>
      <c r="B4866">
        <v>565401</v>
      </c>
      <c r="C4866" s="2" t="str">
        <f>"232RD"</f>
        <v>232RD</v>
      </c>
      <c r="D4866" t="s">
        <v>4973</v>
      </c>
      <c r="E4866" t="s">
        <v>4</v>
      </c>
      <c r="F4866">
        <v>11.79</v>
      </c>
      <c r="H4866" t="s">
        <v>5</v>
      </c>
      <c r="I4866" s="1">
        <v>26.49</v>
      </c>
      <c r="J4866" s="1">
        <v>26.34</v>
      </c>
      <c r="K4866" t="s">
        <v>6</v>
      </c>
    </row>
    <row r="4867" spans="1:11">
      <c r="A4867" t="s">
        <v>4966</v>
      </c>
      <c r="B4867">
        <v>563175</v>
      </c>
      <c r="C4867" s="2" t="str">
        <f>"235V"</f>
        <v>235V</v>
      </c>
      <c r="D4867" t="s">
        <v>4974</v>
      </c>
      <c r="E4867" t="s">
        <v>4</v>
      </c>
      <c r="F4867">
        <v>11.79</v>
      </c>
      <c r="H4867" t="s">
        <v>5</v>
      </c>
      <c r="I4867" s="1">
        <v>23.7</v>
      </c>
      <c r="J4867" s="1">
        <v>23.5</v>
      </c>
      <c r="K4867" t="s">
        <v>6</v>
      </c>
    </row>
    <row r="4868" spans="1:11">
      <c r="A4868" t="s">
        <v>4966</v>
      </c>
      <c r="B4868">
        <v>563173</v>
      </c>
      <c r="C4868" s="2" t="str">
        <f>"235V-1-AM"</f>
        <v>235V-1-AM</v>
      </c>
      <c r="D4868" t="s">
        <v>4975</v>
      </c>
      <c r="E4868" t="s">
        <v>4</v>
      </c>
      <c r="F4868">
        <v>11.79</v>
      </c>
      <c r="H4868" t="s">
        <v>5</v>
      </c>
      <c r="I4868" s="1">
        <v>23.7</v>
      </c>
      <c r="J4868" s="1">
        <v>23.5</v>
      </c>
      <c r="K4868" t="s">
        <v>6</v>
      </c>
    </row>
    <row r="4869" spans="1:11">
      <c r="A4869" t="s">
        <v>4966</v>
      </c>
      <c r="B4869">
        <v>563178</v>
      </c>
      <c r="C4869" s="2" t="str">
        <f>"235V-1-BL"</f>
        <v>235V-1-BL</v>
      </c>
      <c r="D4869" t="s">
        <v>4976</v>
      </c>
      <c r="E4869" t="s">
        <v>4</v>
      </c>
      <c r="F4869">
        <v>11.79</v>
      </c>
      <c r="H4869" t="s">
        <v>5</v>
      </c>
      <c r="I4869" s="1">
        <v>23.7</v>
      </c>
      <c r="J4869" s="1">
        <v>23.5</v>
      </c>
      <c r="K4869" t="s">
        <v>6</v>
      </c>
    </row>
    <row r="4870" spans="1:11">
      <c r="A4870" t="s">
        <v>4966</v>
      </c>
      <c r="B4870">
        <v>563177</v>
      </c>
      <c r="C4870" s="2" t="str">
        <f>"235V-1-GR"</f>
        <v>235V-1-GR</v>
      </c>
      <c r="D4870" t="s">
        <v>4977</v>
      </c>
      <c r="E4870" t="s">
        <v>4</v>
      </c>
      <c r="F4870">
        <v>11.79</v>
      </c>
      <c r="H4870" t="s">
        <v>5</v>
      </c>
      <c r="I4870" s="1">
        <v>23.7</v>
      </c>
      <c r="J4870" s="1">
        <v>23.5</v>
      </c>
      <c r="K4870" t="s">
        <v>6</v>
      </c>
    </row>
    <row r="4871" spans="1:11">
      <c r="A4871" t="s">
        <v>4966</v>
      </c>
      <c r="B4871">
        <v>563176</v>
      </c>
      <c r="C4871" s="2" t="str">
        <f>"235V-1-RD"</f>
        <v>235V-1-RD</v>
      </c>
      <c r="D4871" t="s">
        <v>4978</v>
      </c>
      <c r="E4871" t="s">
        <v>4</v>
      </c>
      <c r="F4871">
        <v>11.79</v>
      </c>
      <c r="H4871" t="s">
        <v>5</v>
      </c>
      <c r="I4871" s="1">
        <v>23.7</v>
      </c>
      <c r="J4871" s="1">
        <v>23.5</v>
      </c>
      <c r="K4871" t="s">
        <v>6</v>
      </c>
    </row>
    <row r="4872" spans="1:11">
      <c r="A4872" t="s">
        <v>4966</v>
      </c>
      <c r="B4872">
        <v>563174</v>
      </c>
      <c r="C4872" s="2" t="str">
        <f>"235V-4"</f>
        <v>235V-4</v>
      </c>
      <c r="D4872" t="s">
        <v>4979</v>
      </c>
      <c r="E4872" t="s">
        <v>4</v>
      </c>
      <c r="F4872">
        <v>11.79</v>
      </c>
      <c r="H4872" t="s">
        <v>5</v>
      </c>
      <c r="I4872" s="1">
        <v>23.7</v>
      </c>
      <c r="J4872" s="1">
        <v>23.5</v>
      </c>
      <c r="K4872" t="s">
        <v>6</v>
      </c>
    </row>
    <row r="4873" spans="1:11">
      <c r="A4873" t="s">
        <v>4966</v>
      </c>
      <c r="B4873">
        <v>370575</v>
      </c>
      <c r="C4873" s="2" t="str">
        <f>"494-CL"</f>
        <v>494-CL</v>
      </c>
      <c r="D4873" t="s">
        <v>4980</v>
      </c>
      <c r="E4873" t="s">
        <v>4</v>
      </c>
      <c r="F4873">
        <v>8.25</v>
      </c>
      <c r="H4873" t="s">
        <v>5</v>
      </c>
      <c r="I4873" s="1">
        <v>65.98</v>
      </c>
      <c r="J4873" s="1">
        <v>65.98</v>
      </c>
      <c r="K4873" t="s">
        <v>6</v>
      </c>
    </row>
    <row r="4874" spans="1:11">
      <c r="A4874" t="s">
        <v>4966</v>
      </c>
      <c r="B4874">
        <v>367907</v>
      </c>
      <c r="C4874" s="2" t="str">
        <f>"505TL"</f>
        <v>505TL</v>
      </c>
      <c r="D4874" t="s">
        <v>4981</v>
      </c>
      <c r="E4874" t="s">
        <v>4</v>
      </c>
      <c r="F4874">
        <v>17.5</v>
      </c>
      <c r="H4874" t="s">
        <v>5</v>
      </c>
      <c r="I4874" s="1">
        <v>53.96</v>
      </c>
      <c r="J4874" s="1">
        <v>53.73</v>
      </c>
      <c r="K4874" t="s">
        <v>6</v>
      </c>
    </row>
    <row r="4875" spans="1:11">
      <c r="A4875" t="s">
        <v>4966</v>
      </c>
      <c r="B4875">
        <v>370483</v>
      </c>
      <c r="C4875" s="2" t="str">
        <f>"508FW"</f>
        <v>508FW</v>
      </c>
      <c r="D4875" t="s">
        <v>4982</v>
      </c>
      <c r="E4875" t="s">
        <v>4</v>
      </c>
      <c r="F4875">
        <v>27.9</v>
      </c>
      <c r="H4875" t="s">
        <v>5</v>
      </c>
      <c r="I4875" s="1">
        <v>79.48</v>
      </c>
      <c r="J4875" s="1">
        <v>79.12</v>
      </c>
      <c r="K4875" t="s">
        <v>6</v>
      </c>
    </row>
    <row r="4876" spans="1:11">
      <c r="A4876" t="s">
        <v>4966</v>
      </c>
      <c r="B4876">
        <v>381826</v>
      </c>
      <c r="C4876" s="2" t="str">
        <f>"510FW"</f>
        <v>510FW</v>
      </c>
      <c r="D4876" t="s">
        <v>4983</v>
      </c>
      <c r="E4876" t="s">
        <v>4</v>
      </c>
      <c r="F4876">
        <v>18.5</v>
      </c>
      <c r="H4876" t="s">
        <v>5</v>
      </c>
      <c r="I4876" s="1">
        <v>53.12</v>
      </c>
      <c r="J4876" s="1">
        <v>52.87</v>
      </c>
      <c r="K4876" t="s">
        <v>6</v>
      </c>
    </row>
    <row r="4877" spans="1:11">
      <c r="A4877" t="s">
        <v>4966</v>
      </c>
      <c r="B4877">
        <v>565397</v>
      </c>
      <c r="C4877" s="2" t="str">
        <f>"510FW3"</f>
        <v>510FW3</v>
      </c>
      <c r="D4877" t="s">
        <v>4984</v>
      </c>
      <c r="E4877" t="s">
        <v>4</v>
      </c>
      <c r="F4877">
        <v>27.2</v>
      </c>
      <c r="H4877" t="s">
        <v>5</v>
      </c>
      <c r="I4877" s="1">
        <v>78.16</v>
      </c>
      <c r="J4877" s="1">
        <v>77.81</v>
      </c>
      <c r="K4877" t="s">
        <v>6</v>
      </c>
    </row>
    <row r="4878" spans="1:11">
      <c r="A4878" t="s">
        <v>4966</v>
      </c>
      <c r="B4878">
        <v>374173</v>
      </c>
      <c r="C4878" s="2" t="str">
        <f>"516FW"</f>
        <v>516FW</v>
      </c>
      <c r="D4878" t="s">
        <v>4985</v>
      </c>
      <c r="E4878" t="s">
        <v>4</v>
      </c>
      <c r="F4878">
        <v>14.7</v>
      </c>
      <c r="H4878" t="s">
        <v>5</v>
      </c>
      <c r="I4878" s="1">
        <v>46.27</v>
      </c>
      <c r="J4878" s="1">
        <v>46.07</v>
      </c>
      <c r="K4878" t="s">
        <v>6</v>
      </c>
    </row>
    <row r="4879" spans="1:11">
      <c r="A4879" t="s">
        <v>4966</v>
      </c>
      <c r="B4879">
        <v>439791</v>
      </c>
      <c r="C4879" s="2" t="str">
        <f>"516FW2"</f>
        <v>516FW2</v>
      </c>
      <c r="D4879" t="s">
        <v>4986</v>
      </c>
      <c r="E4879" t="s">
        <v>4</v>
      </c>
      <c r="F4879">
        <v>27</v>
      </c>
      <c r="H4879" t="s">
        <v>5</v>
      </c>
      <c r="I4879" s="1">
        <v>82.02</v>
      </c>
      <c r="J4879" s="1">
        <v>81.67</v>
      </c>
      <c r="K4879" t="s">
        <v>6</v>
      </c>
    </row>
    <row r="4880" spans="1:11">
      <c r="A4880" t="s">
        <v>4966</v>
      </c>
      <c r="B4880">
        <v>372372</v>
      </c>
      <c r="C4880" s="2" t="str">
        <f>"530A"</f>
        <v>530A</v>
      </c>
      <c r="D4880" t="s">
        <v>4987</v>
      </c>
      <c r="E4880" t="s">
        <v>4</v>
      </c>
      <c r="F4880">
        <v>10</v>
      </c>
      <c r="H4880" t="s">
        <v>5</v>
      </c>
      <c r="I4880" s="1">
        <v>27.22</v>
      </c>
      <c r="J4880" s="1">
        <v>27.09</v>
      </c>
      <c r="K4880" t="s">
        <v>6</v>
      </c>
    </row>
    <row r="4881" spans="1:12">
      <c r="A4881" t="s">
        <v>4966</v>
      </c>
      <c r="B4881">
        <v>385502</v>
      </c>
      <c r="C4881" s="2" t="str">
        <f>"530A8"</f>
        <v>530A8</v>
      </c>
      <c r="D4881" t="s">
        <v>4988</v>
      </c>
      <c r="E4881" t="s">
        <v>4</v>
      </c>
      <c r="F4881">
        <v>11.4</v>
      </c>
      <c r="H4881" t="s">
        <v>5</v>
      </c>
      <c r="I4881" s="1">
        <v>30.56</v>
      </c>
      <c r="J4881" s="1">
        <v>30.42</v>
      </c>
      <c r="K4881" t="s">
        <v>6</v>
      </c>
    </row>
    <row r="4882" spans="1:12">
      <c r="A4882" t="s">
        <v>4966</v>
      </c>
      <c r="B4882">
        <v>383778</v>
      </c>
      <c r="C4882" s="2" t="str">
        <f>"530F"</f>
        <v>530F</v>
      </c>
      <c r="D4882" t="s">
        <v>4989</v>
      </c>
      <c r="E4882" t="s">
        <v>4</v>
      </c>
      <c r="F4882">
        <v>10</v>
      </c>
      <c r="H4882" t="s">
        <v>5</v>
      </c>
      <c r="I4882" s="1">
        <v>38.6</v>
      </c>
      <c r="J4882" s="1">
        <v>38.47</v>
      </c>
      <c r="K4882" t="s">
        <v>6</v>
      </c>
    </row>
    <row r="4883" spans="1:12">
      <c r="A4883" t="s">
        <v>4966</v>
      </c>
      <c r="B4883">
        <v>382017</v>
      </c>
      <c r="C4883" s="2" t="str">
        <f>"601"</f>
        <v>601</v>
      </c>
      <c r="D4883" t="s">
        <v>4990</v>
      </c>
      <c r="E4883" t="s">
        <v>4</v>
      </c>
      <c r="F4883">
        <v>12</v>
      </c>
      <c r="G4883">
        <v>1</v>
      </c>
      <c r="H4883" t="s">
        <v>106</v>
      </c>
      <c r="I4883" s="1">
        <v>5.4</v>
      </c>
      <c r="J4883" s="1">
        <v>5.38</v>
      </c>
      <c r="K4883" t="s">
        <v>1471</v>
      </c>
      <c r="L4883" s="1">
        <v>5.92</v>
      </c>
    </row>
    <row r="4884" spans="1:12">
      <c r="A4884" t="s">
        <v>4966</v>
      </c>
      <c r="B4884">
        <v>487260</v>
      </c>
      <c r="C4884" s="2" t="str">
        <f>"603"</f>
        <v>603</v>
      </c>
      <c r="D4884" t="s">
        <v>4991</v>
      </c>
      <c r="E4884" t="s">
        <v>4</v>
      </c>
      <c r="F4884">
        <v>8.76</v>
      </c>
      <c r="G4884">
        <v>0.73</v>
      </c>
      <c r="H4884" t="s">
        <v>106</v>
      </c>
      <c r="I4884" s="1">
        <v>4.8</v>
      </c>
      <c r="J4884" s="1">
        <v>4.79</v>
      </c>
      <c r="K4884" t="s">
        <v>4992</v>
      </c>
      <c r="L4884" s="1">
        <v>5.27</v>
      </c>
    </row>
    <row r="4885" spans="1:12">
      <c r="A4885" t="s">
        <v>4966</v>
      </c>
      <c r="B4885">
        <v>382021</v>
      </c>
      <c r="C4885" s="2" t="str">
        <f>"610-WH"</f>
        <v>610-WH</v>
      </c>
      <c r="D4885" t="s">
        <v>4993</v>
      </c>
      <c r="E4885" t="s">
        <v>4</v>
      </c>
      <c r="F4885">
        <v>19.2</v>
      </c>
      <c r="G4885">
        <v>1.6</v>
      </c>
      <c r="H4885" t="s">
        <v>106</v>
      </c>
      <c r="I4885" s="1">
        <v>6</v>
      </c>
      <c r="J4885" s="1">
        <v>5.98</v>
      </c>
      <c r="K4885" t="s">
        <v>1274</v>
      </c>
      <c r="L4885" s="1">
        <v>6.58</v>
      </c>
    </row>
    <row r="4886" spans="1:12">
      <c r="A4886" t="s">
        <v>4966</v>
      </c>
      <c r="B4886">
        <v>382022</v>
      </c>
      <c r="C4886" s="2" t="str">
        <f>"612-RD"</f>
        <v>612-RD</v>
      </c>
      <c r="D4886" t="s">
        <v>4994</v>
      </c>
      <c r="E4886" t="s">
        <v>4</v>
      </c>
      <c r="F4886">
        <v>22.8</v>
      </c>
      <c r="G4886">
        <v>1.9</v>
      </c>
      <c r="H4886" t="s">
        <v>106</v>
      </c>
      <c r="I4886" s="1">
        <v>6.82</v>
      </c>
      <c r="J4886" s="1">
        <v>6.8</v>
      </c>
      <c r="K4886" t="s">
        <v>1274</v>
      </c>
      <c r="L4886" s="1">
        <v>7.48</v>
      </c>
    </row>
    <row r="4887" spans="1:12">
      <c r="A4887" t="s">
        <v>4966</v>
      </c>
      <c r="B4887">
        <v>382023</v>
      </c>
      <c r="C4887" s="2" t="str">
        <f>"612-WH"</f>
        <v>612-WH</v>
      </c>
      <c r="D4887" t="s">
        <v>4995</v>
      </c>
      <c r="E4887" t="s">
        <v>4</v>
      </c>
      <c r="F4887">
        <v>22.8</v>
      </c>
      <c r="G4887">
        <v>1.9</v>
      </c>
      <c r="H4887" t="s">
        <v>106</v>
      </c>
      <c r="I4887" s="1">
        <v>6.82</v>
      </c>
      <c r="J4887" s="1">
        <v>6.8</v>
      </c>
      <c r="K4887" t="s">
        <v>1274</v>
      </c>
      <c r="L4887" s="1">
        <v>7.48</v>
      </c>
    </row>
    <row r="4888" spans="1:12">
      <c r="A4888" t="s">
        <v>4966</v>
      </c>
      <c r="B4888">
        <v>382024</v>
      </c>
      <c r="C4888" s="2" t="str">
        <f>"615-WH"</f>
        <v>615-WH</v>
      </c>
      <c r="D4888" t="s">
        <v>4996</v>
      </c>
      <c r="E4888" t="s">
        <v>4</v>
      </c>
      <c r="F4888">
        <v>30</v>
      </c>
      <c r="G4888">
        <v>2.5</v>
      </c>
      <c r="H4888" t="s">
        <v>106</v>
      </c>
      <c r="I4888" s="1">
        <v>8.27</v>
      </c>
      <c r="J4888" s="1">
        <v>8.24</v>
      </c>
      <c r="K4888" t="s">
        <v>1274</v>
      </c>
      <c r="L4888" s="1">
        <v>9.06</v>
      </c>
    </row>
    <row r="4889" spans="1:12">
      <c r="A4889" t="s">
        <v>4966</v>
      </c>
      <c r="B4889">
        <v>459619</v>
      </c>
      <c r="C4889" s="2" t="str">
        <f>"808"</f>
        <v>808</v>
      </c>
      <c r="D4889" t="s">
        <v>4997</v>
      </c>
      <c r="E4889" t="s">
        <v>4</v>
      </c>
      <c r="F4889">
        <v>10.92</v>
      </c>
      <c r="H4889" t="s">
        <v>5</v>
      </c>
      <c r="I4889" s="1">
        <v>83.81</v>
      </c>
      <c r="J4889" s="1">
        <v>83.67</v>
      </c>
      <c r="K4889" t="s">
        <v>6</v>
      </c>
    </row>
    <row r="4890" spans="1:12">
      <c r="A4890" t="s">
        <v>4966</v>
      </c>
      <c r="B4890">
        <v>444486</v>
      </c>
      <c r="C4890" s="2" t="str">
        <f>"812"</f>
        <v>812</v>
      </c>
      <c r="D4890" t="s">
        <v>4998</v>
      </c>
      <c r="E4890" t="s">
        <v>4</v>
      </c>
      <c r="F4890">
        <v>13</v>
      </c>
      <c r="H4890" t="s">
        <v>5</v>
      </c>
      <c r="I4890" s="1">
        <v>81.98</v>
      </c>
      <c r="J4890" s="1">
        <v>81.81</v>
      </c>
      <c r="K4890" t="s">
        <v>6</v>
      </c>
    </row>
    <row r="4891" spans="1:12">
      <c r="A4891" t="s">
        <v>4966</v>
      </c>
      <c r="B4891">
        <v>396011</v>
      </c>
      <c r="C4891" s="2" t="str">
        <f>"820M"</f>
        <v>820M</v>
      </c>
      <c r="D4891" t="s">
        <v>4999</v>
      </c>
      <c r="E4891" t="s">
        <v>4</v>
      </c>
      <c r="F4891">
        <v>10.5</v>
      </c>
      <c r="H4891" t="s">
        <v>5</v>
      </c>
      <c r="I4891" s="1">
        <v>59.02</v>
      </c>
      <c r="J4891" s="1">
        <v>58.88</v>
      </c>
      <c r="K4891" t="s">
        <v>6</v>
      </c>
    </row>
    <row r="4892" spans="1:12">
      <c r="A4892" t="s">
        <v>4966</v>
      </c>
      <c r="B4892">
        <v>367918</v>
      </c>
      <c r="C4892" s="2" t="str">
        <f>"834"</f>
        <v>834</v>
      </c>
      <c r="D4892" t="s">
        <v>5000</v>
      </c>
      <c r="E4892" t="s">
        <v>4</v>
      </c>
      <c r="F4892">
        <v>9</v>
      </c>
      <c r="H4892" t="s">
        <v>5</v>
      </c>
      <c r="I4892" s="1">
        <v>55.98</v>
      </c>
      <c r="J4892" s="1">
        <v>55.86</v>
      </c>
      <c r="K4892" t="s">
        <v>6</v>
      </c>
    </row>
    <row r="4893" spans="1:12">
      <c r="A4893" t="s">
        <v>4966</v>
      </c>
      <c r="B4893">
        <v>406597</v>
      </c>
      <c r="C4893" s="2" t="str">
        <f>"837"</f>
        <v>837</v>
      </c>
      <c r="D4893" t="s">
        <v>5001</v>
      </c>
      <c r="E4893" t="s">
        <v>4</v>
      </c>
      <c r="F4893">
        <v>10</v>
      </c>
      <c r="H4893" t="s">
        <v>5</v>
      </c>
      <c r="I4893" s="1">
        <v>38.25</v>
      </c>
      <c r="J4893" s="1">
        <v>38.119999999999997</v>
      </c>
      <c r="K4893" t="s">
        <v>6</v>
      </c>
    </row>
    <row r="4894" spans="1:12">
      <c r="A4894" t="s">
        <v>4966</v>
      </c>
      <c r="B4894">
        <v>367909</v>
      </c>
      <c r="C4894" s="2" t="str">
        <f>"840"</f>
        <v>840</v>
      </c>
      <c r="D4894" t="s">
        <v>5002</v>
      </c>
      <c r="E4894" t="s">
        <v>4</v>
      </c>
      <c r="F4894">
        <v>10.8</v>
      </c>
      <c r="H4894" t="s">
        <v>5</v>
      </c>
      <c r="I4894" s="1">
        <v>47.48</v>
      </c>
      <c r="J4894" s="1">
        <v>47.33</v>
      </c>
      <c r="K4894" t="s">
        <v>6</v>
      </c>
    </row>
    <row r="4895" spans="1:12">
      <c r="A4895" t="s">
        <v>4966</v>
      </c>
      <c r="B4895">
        <v>367936</v>
      </c>
      <c r="C4895" s="2" t="str">
        <f>"897"</f>
        <v>897</v>
      </c>
      <c r="D4895" t="s">
        <v>5003</v>
      </c>
      <c r="E4895" t="s">
        <v>4</v>
      </c>
      <c r="F4895">
        <v>1.8</v>
      </c>
      <c r="H4895" t="s">
        <v>5</v>
      </c>
      <c r="I4895" s="1">
        <v>33.61</v>
      </c>
      <c r="J4895" s="1">
        <v>33.58</v>
      </c>
      <c r="K4895" t="s">
        <v>6</v>
      </c>
    </row>
    <row r="4896" spans="1:12">
      <c r="A4896" t="s">
        <v>4966</v>
      </c>
      <c r="B4896">
        <v>368007</v>
      </c>
      <c r="C4896" s="2" t="str">
        <f>"HF03003"</f>
        <v>HF03003</v>
      </c>
      <c r="D4896" t="s">
        <v>5004</v>
      </c>
      <c r="E4896" t="s">
        <v>4</v>
      </c>
      <c r="F4896">
        <v>27.4</v>
      </c>
      <c r="H4896" t="s">
        <v>5</v>
      </c>
      <c r="I4896" s="1">
        <v>58.45</v>
      </c>
      <c r="J4896" s="1">
        <v>58.02</v>
      </c>
      <c r="K4896" t="s">
        <v>6</v>
      </c>
    </row>
    <row r="4897" spans="1:11">
      <c r="A4897" t="s">
        <v>4966</v>
      </c>
      <c r="B4897">
        <v>378937</v>
      </c>
      <c r="C4897" s="2" t="str">
        <f>"HF03007"</f>
        <v>HF03007</v>
      </c>
      <c r="D4897" t="s">
        <v>5005</v>
      </c>
      <c r="E4897" t="s">
        <v>4</v>
      </c>
      <c r="F4897">
        <v>32</v>
      </c>
      <c r="H4897" t="s">
        <v>5</v>
      </c>
      <c r="I4897" s="1">
        <v>49.37</v>
      </c>
      <c r="J4897" s="1">
        <v>48.97</v>
      </c>
      <c r="K4897" t="s">
        <v>6</v>
      </c>
    </row>
    <row r="4898" spans="1:11">
      <c r="A4898" t="s">
        <v>4966</v>
      </c>
      <c r="B4898">
        <v>367903</v>
      </c>
      <c r="C4898" s="2" t="str">
        <f>"HF03008"</f>
        <v>HF03008</v>
      </c>
      <c r="D4898" t="s">
        <v>5006</v>
      </c>
      <c r="E4898" t="s">
        <v>4</v>
      </c>
      <c r="F4898">
        <v>37.1</v>
      </c>
      <c r="H4898" t="s">
        <v>5</v>
      </c>
      <c r="I4898" s="1">
        <v>54.85</v>
      </c>
      <c r="J4898" s="1">
        <v>54.35</v>
      </c>
      <c r="K4898" t="s">
        <v>6</v>
      </c>
    </row>
    <row r="4899" spans="1:11">
      <c r="A4899" t="s">
        <v>4966</v>
      </c>
      <c r="B4899">
        <v>409315</v>
      </c>
      <c r="C4899" s="2" t="str">
        <f>"HW03002"</f>
        <v>HW03002</v>
      </c>
      <c r="D4899" t="s">
        <v>5007</v>
      </c>
      <c r="E4899" t="s">
        <v>4</v>
      </c>
      <c r="F4899">
        <v>8.5</v>
      </c>
      <c r="H4899" t="s">
        <v>5</v>
      </c>
      <c r="I4899" s="1">
        <v>40.299999999999997</v>
      </c>
      <c r="J4899" s="1">
        <v>40.21</v>
      </c>
      <c r="K4899" t="s">
        <v>6</v>
      </c>
    </row>
    <row r="4900" spans="1:11">
      <c r="A4900" t="s">
        <v>4966</v>
      </c>
      <c r="B4900">
        <v>409316</v>
      </c>
      <c r="C4900" s="2" t="str">
        <f>"HW03004"</f>
        <v>HW03004</v>
      </c>
      <c r="D4900" t="s">
        <v>5008</v>
      </c>
      <c r="E4900" t="s">
        <v>4</v>
      </c>
      <c r="F4900">
        <v>13.4</v>
      </c>
      <c r="H4900" t="s">
        <v>5</v>
      </c>
      <c r="I4900" s="1">
        <v>38.51</v>
      </c>
      <c r="J4900" s="1">
        <v>38.35</v>
      </c>
      <c r="K4900" t="s">
        <v>6</v>
      </c>
    </row>
    <row r="4901" spans="1:11">
      <c r="A4901" t="s">
        <v>4966</v>
      </c>
      <c r="B4901">
        <v>409317</v>
      </c>
      <c r="C4901" s="2" t="str">
        <f>"HW03006"</f>
        <v>HW03006</v>
      </c>
      <c r="D4901" t="s">
        <v>5009</v>
      </c>
      <c r="E4901" t="s">
        <v>4</v>
      </c>
      <c r="F4901">
        <v>17.5</v>
      </c>
      <c r="H4901" t="s">
        <v>5</v>
      </c>
      <c r="I4901" s="1">
        <v>47.81</v>
      </c>
      <c r="J4901" s="1">
        <v>47.58</v>
      </c>
      <c r="K4901" t="s">
        <v>6</v>
      </c>
    </row>
    <row r="4902" spans="1:11">
      <c r="A4902" t="s">
        <v>4966</v>
      </c>
      <c r="B4902">
        <v>560691</v>
      </c>
      <c r="C4902" s="2" t="str">
        <f>"QF02008"</f>
        <v>QF02008</v>
      </c>
      <c r="D4902" t="s">
        <v>5010</v>
      </c>
      <c r="E4902" t="s">
        <v>4</v>
      </c>
      <c r="F4902">
        <v>31.5</v>
      </c>
      <c r="H4902" t="s">
        <v>5</v>
      </c>
      <c r="I4902" s="1">
        <v>35.85</v>
      </c>
      <c r="J4902" s="1">
        <v>35.44</v>
      </c>
      <c r="K4902" t="s">
        <v>6</v>
      </c>
    </row>
    <row r="4903" spans="1:11">
      <c r="A4903" t="s">
        <v>4966</v>
      </c>
      <c r="B4903">
        <v>560690</v>
      </c>
      <c r="C4903" s="2" t="str">
        <f>"QF02009"</f>
        <v>QF02009</v>
      </c>
      <c r="D4903" t="s">
        <v>5011</v>
      </c>
      <c r="E4903" t="s">
        <v>4</v>
      </c>
      <c r="F4903">
        <v>12.4</v>
      </c>
      <c r="H4903" t="s">
        <v>5</v>
      </c>
      <c r="I4903" s="1">
        <v>29.41</v>
      </c>
      <c r="J4903" s="1">
        <v>29.25</v>
      </c>
      <c r="K4903" t="s">
        <v>6</v>
      </c>
    </row>
    <row r="4904" spans="1:11">
      <c r="A4904" t="s">
        <v>4966</v>
      </c>
      <c r="B4904">
        <v>367902</v>
      </c>
      <c r="C4904" s="2" t="str">
        <f>"ST03009"</f>
        <v>ST03009</v>
      </c>
      <c r="D4904" t="s">
        <v>5012</v>
      </c>
      <c r="E4904" t="s">
        <v>4</v>
      </c>
      <c r="F4904">
        <v>15.8</v>
      </c>
      <c r="H4904" t="s">
        <v>5</v>
      </c>
      <c r="I4904" s="1">
        <v>56.55</v>
      </c>
      <c r="J4904" s="1">
        <v>56.34</v>
      </c>
      <c r="K4904" t="s">
        <v>6</v>
      </c>
    </row>
    <row r="4905" spans="1:11">
      <c r="A4905" t="s">
        <v>4966</v>
      </c>
      <c r="B4905">
        <v>367942</v>
      </c>
      <c r="C4905" s="2" t="str">
        <f>"ST04006G"</f>
        <v>ST04006G</v>
      </c>
      <c r="D4905" t="s">
        <v>5013</v>
      </c>
      <c r="E4905" t="s">
        <v>4</v>
      </c>
      <c r="F4905">
        <v>27.4</v>
      </c>
      <c r="H4905" t="s">
        <v>5</v>
      </c>
      <c r="I4905" s="1">
        <v>73.959999999999994</v>
      </c>
      <c r="J4905" s="1">
        <v>73.59</v>
      </c>
      <c r="K4905" t="s">
        <v>6</v>
      </c>
    </row>
    <row r="4906" spans="1:11">
      <c r="A4906" t="s">
        <v>4966</v>
      </c>
      <c r="B4906">
        <v>367901</v>
      </c>
      <c r="C4906" s="2" t="str">
        <f>"ST04008G"</f>
        <v>ST04008G</v>
      </c>
      <c r="D4906" t="s">
        <v>5014</v>
      </c>
      <c r="E4906" t="s">
        <v>4</v>
      </c>
      <c r="F4906">
        <v>36</v>
      </c>
      <c r="H4906" t="s">
        <v>5</v>
      </c>
      <c r="I4906" s="1">
        <v>71.849999999999994</v>
      </c>
      <c r="J4906" s="1">
        <v>71.34</v>
      </c>
      <c r="K4906" t="s">
        <v>6</v>
      </c>
    </row>
    <row r="4907" spans="1:11">
      <c r="A4907" t="s">
        <v>4966</v>
      </c>
      <c r="B4907">
        <v>367972</v>
      </c>
      <c r="C4907" s="2" t="str">
        <f>"ST04028"</f>
        <v>ST04028</v>
      </c>
      <c r="D4907" t="s">
        <v>5015</v>
      </c>
      <c r="E4907" t="s">
        <v>4</v>
      </c>
      <c r="F4907">
        <v>31.2</v>
      </c>
      <c r="H4907" t="s">
        <v>5</v>
      </c>
      <c r="I4907" s="1">
        <v>61.79</v>
      </c>
      <c r="J4907" s="1">
        <v>61.37</v>
      </c>
      <c r="K4907" t="s">
        <v>6</v>
      </c>
    </row>
    <row r="4908" spans="1:11">
      <c r="A4908" t="s">
        <v>4966</v>
      </c>
      <c r="B4908">
        <v>458302</v>
      </c>
      <c r="C4908" s="2" t="str">
        <f>"ST04043"</f>
        <v>ST04043</v>
      </c>
      <c r="D4908" t="s">
        <v>5016</v>
      </c>
      <c r="E4908" t="s">
        <v>4</v>
      </c>
      <c r="F4908">
        <v>7.2</v>
      </c>
      <c r="H4908" t="s">
        <v>5</v>
      </c>
      <c r="I4908" s="1">
        <v>13.05</v>
      </c>
      <c r="J4908" s="1">
        <v>12.95</v>
      </c>
      <c r="K4908" t="s">
        <v>6</v>
      </c>
    </row>
    <row r="4909" spans="1:11">
      <c r="A4909" t="s">
        <v>4966</v>
      </c>
      <c r="B4909">
        <v>565743</v>
      </c>
      <c r="C4909" s="2" t="str">
        <f>"ST05000"</f>
        <v>ST05000</v>
      </c>
      <c r="D4909" t="s">
        <v>5017</v>
      </c>
      <c r="E4909" t="s">
        <v>4</v>
      </c>
      <c r="F4909">
        <v>18.25</v>
      </c>
      <c r="H4909" t="s">
        <v>5</v>
      </c>
      <c r="I4909" s="1">
        <v>60.88</v>
      </c>
      <c r="J4909" s="1">
        <v>60.65</v>
      </c>
      <c r="K4909" t="s">
        <v>6</v>
      </c>
    </row>
    <row r="4910" spans="1:11">
      <c r="A4910" t="s">
        <v>4966</v>
      </c>
      <c r="B4910">
        <v>367959</v>
      </c>
      <c r="C4910" s="2" t="str">
        <f>"ST05006"</f>
        <v>ST05006</v>
      </c>
      <c r="D4910" t="s">
        <v>5018</v>
      </c>
      <c r="E4910" t="s">
        <v>4</v>
      </c>
      <c r="F4910">
        <v>6.2</v>
      </c>
      <c r="H4910" t="s">
        <v>5</v>
      </c>
      <c r="I4910" s="1">
        <v>45.44</v>
      </c>
      <c r="J4910" s="1">
        <v>45.34</v>
      </c>
      <c r="K4910" t="s">
        <v>6</v>
      </c>
    </row>
    <row r="4911" spans="1:11">
      <c r="A4911" t="s">
        <v>4966</v>
      </c>
      <c r="B4911">
        <v>406939</v>
      </c>
      <c r="C4911" s="2" t="str">
        <f>"ST05008"</f>
        <v>ST05008</v>
      </c>
      <c r="D4911" t="s">
        <v>5019</v>
      </c>
      <c r="E4911" t="s">
        <v>4</v>
      </c>
      <c r="F4911">
        <v>16</v>
      </c>
      <c r="H4911" t="s">
        <v>5</v>
      </c>
      <c r="I4911" s="1">
        <v>56.32</v>
      </c>
      <c r="J4911" s="1">
        <v>56.11</v>
      </c>
      <c r="K4911" t="s">
        <v>6</v>
      </c>
    </row>
    <row r="4912" spans="1:11">
      <c r="A4912" t="s">
        <v>4966</v>
      </c>
      <c r="B4912">
        <v>367921</v>
      </c>
      <c r="C4912" s="2" t="str">
        <f>"ST05010"</f>
        <v>ST05010</v>
      </c>
      <c r="D4912" t="s">
        <v>5020</v>
      </c>
      <c r="E4912" t="s">
        <v>4</v>
      </c>
      <c r="F4912">
        <v>12.7</v>
      </c>
      <c r="H4912" t="s">
        <v>5</v>
      </c>
      <c r="I4912" s="1">
        <v>46.38</v>
      </c>
      <c r="J4912" s="1">
        <v>46.22</v>
      </c>
      <c r="K4912" t="s">
        <v>6</v>
      </c>
    </row>
    <row r="4913" spans="1:12">
      <c r="A4913" t="s">
        <v>4966</v>
      </c>
      <c r="B4913">
        <v>549471</v>
      </c>
      <c r="C4913" s="2" t="str">
        <f>"ST05012"</f>
        <v>ST05012</v>
      </c>
      <c r="D4913" t="s">
        <v>5021</v>
      </c>
      <c r="E4913" t="s">
        <v>4</v>
      </c>
      <c r="F4913">
        <v>8.9</v>
      </c>
      <c r="H4913" t="s">
        <v>5</v>
      </c>
      <c r="I4913" s="1">
        <v>23.19</v>
      </c>
      <c r="J4913" s="1">
        <v>23.08</v>
      </c>
      <c r="K4913" t="s">
        <v>6</v>
      </c>
    </row>
    <row r="4914" spans="1:12">
      <c r="A4914" t="s">
        <v>4966</v>
      </c>
      <c r="B4914">
        <v>367905</v>
      </c>
      <c r="C4914" s="2" t="str">
        <f>"ST05016"</f>
        <v>ST05016</v>
      </c>
      <c r="D4914" t="s">
        <v>5022</v>
      </c>
      <c r="E4914" t="s">
        <v>4</v>
      </c>
      <c r="F4914">
        <v>17.899999999999999</v>
      </c>
      <c r="H4914" t="s">
        <v>5</v>
      </c>
      <c r="I4914" s="1">
        <v>65.040000000000006</v>
      </c>
      <c r="J4914" s="1">
        <v>64.81</v>
      </c>
      <c r="K4914" t="s">
        <v>6</v>
      </c>
    </row>
    <row r="4915" spans="1:12">
      <c r="A4915" t="s">
        <v>4966</v>
      </c>
      <c r="B4915">
        <v>406938</v>
      </c>
      <c r="C4915" s="2" t="str">
        <f>"ST05016R"</f>
        <v>ST05016R</v>
      </c>
      <c r="D4915" t="s">
        <v>5023</v>
      </c>
      <c r="E4915" t="s">
        <v>4</v>
      </c>
      <c r="F4915">
        <v>17.100000000000001</v>
      </c>
      <c r="H4915" t="s">
        <v>5</v>
      </c>
      <c r="I4915" s="1">
        <v>62.13</v>
      </c>
      <c r="J4915" s="1">
        <v>61.91</v>
      </c>
      <c r="K4915" t="s">
        <v>6</v>
      </c>
    </row>
    <row r="4916" spans="1:12">
      <c r="A4916" t="s">
        <v>4966</v>
      </c>
      <c r="B4916">
        <v>487134</v>
      </c>
      <c r="C4916" s="2" t="str">
        <f>"ST05017"</f>
        <v>ST05017</v>
      </c>
      <c r="D4916" t="s">
        <v>5024</v>
      </c>
      <c r="E4916" t="s">
        <v>4</v>
      </c>
      <c r="F4916">
        <v>19.100000000000001</v>
      </c>
      <c r="H4916" t="s">
        <v>5</v>
      </c>
      <c r="I4916" s="1">
        <v>68.06</v>
      </c>
      <c r="J4916" s="1">
        <v>67.81</v>
      </c>
      <c r="K4916" t="s">
        <v>6</v>
      </c>
    </row>
    <row r="4917" spans="1:12">
      <c r="A4917" t="s">
        <v>4966</v>
      </c>
      <c r="B4917">
        <v>444707</v>
      </c>
      <c r="C4917" s="2" t="str">
        <f>"ST06000"</f>
        <v>ST06000</v>
      </c>
      <c r="D4917" t="s">
        <v>5025</v>
      </c>
      <c r="E4917" t="s">
        <v>4</v>
      </c>
      <c r="F4917">
        <v>9.4499999999999993</v>
      </c>
      <c r="H4917" t="s">
        <v>5</v>
      </c>
      <c r="I4917" s="1">
        <v>22.22</v>
      </c>
      <c r="J4917" s="1">
        <v>22.1</v>
      </c>
      <c r="K4917" t="s">
        <v>6</v>
      </c>
    </row>
    <row r="4918" spans="1:12">
      <c r="A4918" t="s">
        <v>4966</v>
      </c>
      <c r="B4918">
        <v>510062</v>
      </c>
      <c r="C4918" s="2" t="str">
        <f>"ST06003"</f>
        <v>ST06003</v>
      </c>
      <c r="D4918" t="s">
        <v>5026</v>
      </c>
      <c r="E4918" t="s">
        <v>4</v>
      </c>
      <c r="F4918">
        <v>6</v>
      </c>
      <c r="G4918">
        <v>0.6</v>
      </c>
      <c r="H4918" t="s">
        <v>108</v>
      </c>
      <c r="I4918" s="1">
        <v>20.6</v>
      </c>
      <c r="J4918" s="1">
        <v>20.59</v>
      </c>
      <c r="K4918" t="s">
        <v>21</v>
      </c>
      <c r="L4918" s="1">
        <v>22.65</v>
      </c>
    </row>
    <row r="4919" spans="1:12">
      <c r="A4919" t="s">
        <v>4966</v>
      </c>
      <c r="B4919">
        <v>510060</v>
      </c>
      <c r="C4919" s="2" t="str">
        <f>"ST06004"</f>
        <v>ST06004</v>
      </c>
      <c r="D4919" t="s">
        <v>5027</v>
      </c>
      <c r="E4919" t="s">
        <v>4</v>
      </c>
      <c r="F4919">
        <v>27.06</v>
      </c>
      <c r="G4919">
        <v>4.51</v>
      </c>
      <c r="H4919" t="s">
        <v>20</v>
      </c>
      <c r="I4919" s="1">
        <v>31.2</v>
      </c>
      <c r="J4919" s="1">
        <v>31.14</v>
      </c>
      <c r="K4919" t="s">
        <v>21</v>
      </c>
      <c r="L4919" s="1">
        <v>34.25</v>
      </c>
    </row>
    <row r="4920" spans="1:12">
      <c r="A4920" t="s">
        <v>4966</v>
      </c>
      <c r="B4920">
        <v>530754</v>
      </c>
      <c r="C4920" s="2" t="str">
        <f>"ST06005"</f>
        <v>ST06005</v>
      </c>
      <c r="D4920" t="s">
        <v>5028</v>
      </c>
      <c r="E4920" t="s">
        <v>4</v>
      </c>
      <c r="F4920">
        <v>12.6</v>
      </c>
      <c r="G4920">
        <v>2.1</v>
      </c>
      <c r="H4920" t="s">
        <v>20</v>
      </c>
      <c r="I4920" s="1">
        <v>38.18</v>
      </c>
      <c r="J4920" s="1">
        <v>38.159999999999997</v>
      </c>
      <c r="K4920" t="s">
        <v>457</v>
      </c>
      <c r="L4920" s="1">
        <v>41.97</v>
      </c>
    </row>
    <row r="4921" spans="1:12">
      <c r="A4921" t="s">
        <v>4966</v>
      </c>
      <c r="B4921">
        <v>514407</v>
      </c>
      <c r="C4921" s="2" t="str">
        <f>"ST07000"</f>
        <v>ST07000</v>
      </c>
      <c r="D4921" t="s">
        <v>5029</v>
      </c>
      <c r="E4921" t="s">
        <v>4</v>
      </c>
      <c r="F4921">
        <v>15.25</v>
      </c>
      <c r="H4921" t="s">
        <v>5</v>
      </c>
      <c r="I4921" s="1">
        <v>50.12</v>
      </c>
      <c r="J4921" s="1">
        <v>49.84</v>
      </c>
      <c r="K4921" t="s">
        <v>6</v>
      </c>
    </row>
    <row r="4922" spans="1:12">
      <c r="A4922" t="s">
        <v>5030</v>
      </c>
      <c r="B4922">
        <v>508093</v>
      </c>
      <c r="C4922" s="2" t="str">
        <f>"903032001"</f>
        <v>903032001</v>
      </c>
      <c r="D4922" t="s">
        <v>5031</v>
      </c>
      <c r="E4922" t="s">
        <v>4</v>
      </c>
      <c r="F4922">
        <v>22</v>
      </c>
      <c r="H4922" t="s">
        <v>5</v>
      </c>
      <c r="I4922" s="1">
        <v>96.07</v>
      </c>
      <c r="J4922" s="1">
        <v>94.91</v>
      </c>
      <c r="K4922" t="s">
        <v>6</v>
      </c>
    </row>
    <row r="4923" spans="1:12">
      <c r="A4923" t="s">
        <v>5030</v>
      </c>
      <c r="B4923">
        <v>508094</v>
      </c>
      <c r="C4923" s="2" t="str">
        <f>"903032003"</f>
        <v>903032003</v>
      </c>
      <c r="D4923" t="s">
        <v>5032</v>
      </c>
      <c r="E4923" t="s">
        <v>4</v>
      </c>
      <c r="F4923">
        <v>12</v>
      </c>
      <c r="H4923" t="s">
        <v>5</v>
      </c>
      <c r="I4923" s="1">
        <v>56.33</v>
      </c>
      <c r="J4923" s="1">
        <v>55.64</v>
      </c>
      <c r="K4923" t="s">
        <v>6</v>
      </c>
    </row>
    <row r="4924" spans="1:12">
      <c r="A4924" t="s">
        <v>5030</v>
      </c>
      <c r="B4924">
        <v>508095</v>
      </c>
      <c r="C4924" s="2" t="str">
        <f>"903032008"</f>
        <v>903032008</v>
      </c>
      <c r="D4924" t="s">
        <v>5033</v>
      </c>
      <c r="E4924" t="s">
        <v>4</v>
      </c>
      <c r="F4924">
        <v>28</v>
      </c>
      <c r="H4924" t="s">
        <v>5</v>
      </c>
      <c r="I4924" s="1">
        <v>182.83</v>
      </c>
      <c r="J4924" s="1">
        <v>180.62</v>
      </c>
      <c r="K4924" t="s">
        <v>6</v>
      </c>
    </row>
    <row r="4925" spans="1:12">
      <c r="A4925" t="s">
        <v>5030</v>
      </c>
      <c r="B4925">
        <v>508096</v>
      </c>
      <c r="C4925" s="2" t="str">
        <f>"903032010"</f>
        <v>903032010</v>
      </c>
      <c r="D4925" t="s">
        <v>5034</v>
      </c>
      <c r="E4925" t="s">
        <v>4</v>
      </c>
      <c r="F4925">
        <v>22</v>
      </c>
      <c r="H4925" t="s">
        <v>5</v>
      </c>
      <c r="I4925" s="1">
        <v>82.23</v>
      </c>
      <c r="J4925" s="1">
        <v>81.22</v>
      </c>
      <c r="K4925" t="s">
        <v>6</v>
      </c>
    </row>
    <row r="4926" spans="1:12">
      <c r="A4926" t="s">
        <v>5030</v>
      </c>
      <c r="B4926">
        <v>508097</v>
      </c>
      <c r="C4926" s="2" t="str">
        <f>"903033001"</f>
        <v>903033001</v>
      </c>
      <c r="D4926" t="s">
        <v>5035</v>
      </c>
      <c r="E4926" t="s">
        <v>4</v>
      </c>
      <c r="F4926">
        <v>22</v>
      </c>
      <c r="H4926" t="s">
        <v>5</v>
      </c>
      <c r="I4926" s="1">
        <v>96.07</v>
      </c>
      <c r="J4926" s="1">
        <v>94.91</v>
      </c>
      <c r="K4926" t="s">
        <v>6</v>
      </c>
    </row>
    <row r="4927" spans="1:12">
      <c r="A4927" t="s">
        <v>5030</v>
      </c>
      <c r="B4927">
        <v>508098</v>
      </c>
      <c r="C4927" s="2" t="str">
        <f>"903033003"</f>
        <v>903033003</v>
      </c>
      <c r="D4927" t="s">
        <v>5036</v>
      </c>
      <c r="E4927" t="s">
        <v>4</v>
      </c>
      <c r="F4927">
        <v>13</v>
      </c>
      <c r="H4927" t="s">
        <v>5</v>
      </c>
      <c r="I4927" s="1">
        <v>56.33</v>
      </c>
      <c r="J4927" s="1">
        <v>55.64</v>
      </c>
      <c r="K4927" t="s">
        <v>6</v>
      </c>
    </row>
    <row r="4928" spans="1:12">
      <c r="A4928" t="s">
        <v>5030</v>
      </c>
      <c r="B4928">
        <v>508099</v>
      </c>
      <c r="C4928" s="2" t="str">
        <f>"903033008"</f>
        <v>903033008</v>
      </c>
      <c r="D4928" t="s">
        <v>5037</v>
      </c>
      <c r="E4928" t="s">
        <v>4</v>
      </c>
      <c r="F4928">
        <v>28</v>
      </c>
      <c r="H4928" t="s">
        <v>5</v>
      </c>
      <c r="I4928" s="1">
        <v>182.83</v>
      </c>
      <c r="J4928" s="1">
        <v>180.62</v>
      </c>
      <c r="K4928" t="s">
        <v>6</v>
      </c>
    </row>
    <row r="4929" spans="1:11">
      <c r="A4929" t="s">
        <v>5030</v>
      </c>
      <c r="B4929">
        <v>508100</v>
      </c>
      <c r="C4929" s="2" t="str">
        <f>"903033010"</f>
        <v>903033010</v>
      </c>
      <c r="D4929" t="s">
        <v>5038</v>
      </c>
      <c r="E4929" t="s">
        <v>4</v>
      </c>
      <c r="F4929">
        <v>22</v>
      </c>
      <c r="H4929" t="s">
        <v>5</v>
      </c>
      <c r="I4929" s="1">
        <v>82.23</v>
      </c>
      <c r="J4929" s="1">
        <v>81.22</v>
      </c>
      <c r="K4929" t="s">
        <v>6</v>
      </c>
    </row>
    <row r="4930" spans="1:11">
      <c r="A4930" t="s">
        <v>5030</v>
      </c>
      <c r="B4930">
        <v>508101</v>
      </c>
      <c r="C4930" s="2" t="str">
        <f>"903034001"</f>
        <v>903034001</v>
      </c>
      <c r="D4930" t="s">
        <v>5039</v>
      </c>
      <c r="E4930" t="s">
        <v>4</v>
      </c>
      <c r="F4930">
        <v>22</v>
      </c>
      <c r="H4930" t="s">
        <v>5</v>
      </c>
      <c r="I4930" s="1">
        <v>96.07</v>
      </c>
      <c r="J4930" s="1">
        <v>94.91</v>
      </c>
      <c r="K4930" t="s">
        <v>6</v>
      </c>
    </row>
    <row r="4931" spans="1:11">
      <c r="A4931" t="s">
        <v>5030</v>
      </c>
      <c r="B4931">
        <v>508102</v>
      </c>
      <c r="C4931" s="2" t="str">
        <f>"903034003"</f>
        <v>903034003</v>
      </c>
      <c r="D4931" t="s">
        <v>5040</v>
      </c>
      <c r="E4931" t="s">
        <v>4</v>
      </c>
      <c r="F4931">
        <v>13</v>
      </c>
      <c r="H4931" t="s">
        <v>5</v>
      </c>
      <c r="I4931" s="1">
        <v>56.33</v>
      </c>
      <c r="J4931" s="1">
        <v>55.64</v>
      </c>
      <c r="K4931" t="s">
        <v>6</v>
      </c>
    </row>
    <row r="4932" spans="1:11">
      <c r="A4932" t="s">
        <v>5030</v>
      </c>
      <c r="B4932">
        <v>508103</v>
      </c>
      <c r="C4932" s="2" t="str">
        <f>"903034008"</f>
        <v>903034008</v>
      </c>
      <c r="D4932" t="s">
        <v>5041</v>
      </c>
      <c r="E4932" t="s">
        <v>4</v>
      </c>
      <c r="F4932">
        <v>28</v>
      </c>
      <c r="H4932" t="s">
        <v>5</v>
      </c>
      <c r="I4932" s="1">
        <v>182.83</v>
      </c>
      <c r="J4932" s="1">
        <v>180.62</v>
      </c>
      <c r="K4932" t="s">
        <v>6</v>
      </c>
    </row>
    <row r="4933" spans="1:11">
      <c r="A4933" t="s">
        <v>5030</v>
      </c>
      <c r="B4933">
        <v>508104</v>
      </c>
      <c r="C4933" s="2" t="str">
        <f>"903034010"</f>
        <v>903034010</v>
      </c>
      <c r="D4933" t="s">
        <v>5042</v>
      </c>
      <c r="E4933" t="s">
        <v>4</v>
      </c>
      <c r="F4933">
        <v>22</v>
      </c>
      <c r="H4933" t="s">
        <v>5</v>
      </c>
      <c r="I4933" s="1">
        <v>82.23</v>
      </c>
      <c r="J4933" s="1">
        <v>81.22</v>
      </c>
      <c r="K4933" t="s">
        <v>6</v>
      </c>
    </row>
    <row r="4934" spans="1:11">
      <c r="A4934" t="s">
        <v>5030</v>
      </c>
      <c r="B4934">
        <v>508105</v>
      </c>
      <c r="C4934" s="2" t="str">
        <f>"903035001"</f>
        <v>903035001</v>
      </c>
      <c r="D4934" t="s">
        <v>5043</v>
      </c>
      <c r="E4934" t="s">
        <v>4</v>
      </c>
      <c r="F4934">
        <v>22</v>
      </c>
      <c r="H4934" t="s">
        <v>5</v>
      </c>
      <c r="I4934" s="1">
        <v>96.07</v>
      </c>
      <c r="J4934" s="1">
        <v>94.91</v>
      </c>
      <c r="K4934" t="s">
        <v>6</v>
      </c>
    </row>
    <row r="4935" spans="1:11">
      <c r="A4935" t="s">
        <v>5030</v>
      </c>
      <c r="B4935">
        <v>508106</v>
      </c>
      <c r="C4935" s="2" t="str">
        <f>"903035003"</f>
        <v>903035003</v>
      </c>
      <c r="D4935" t="s">
        <v>5044</v>
      </c>
      <c r="E4935" t="s">
        <v>4</v>
      </c>
      <c r="F4935">
        <v>13</v>
      </c>
      <c r="H4935" t="s">
        <v>5</v>
      </c>
      <c r="I4935" s="1">
        <v>56.33</v>
      </c>
      <c r="J4935" s="1">
        <v>55.64</v>
      </c>
      <c r="K4935" t="s">
        <v>6</v>
      </c>
    </row>
    <row r="4936" spans="1:11">
      <c r="A4936" t="s">
        <v>5030</v>
      </c>
      <c r="B4936">
        <v>508107</v>
      </c>
      <c r="C4936" s="2" t="str">
        <f>"903035008"</f>
        <v>903035008</v>
      </c>
      <c r="D4936" t="s">
        <v>5045</v>
      </c>
      <c r="E4936" t="s">
        <v>4</v>
      </c>
      <c r="F4936">
        <v>28</v>
      </c>
      <c r="H4936" t="s">
        <v>5</v>
      </c>
      <c r="I4936" s="1">
        <v>182.83</v>
      </c>
      <c r="J4936" s="1">
        <v>180.62</v>
      </c>
      <c r="K4936" t="s">
        <v>6</v>
      </c>
    </row>
    <row r="4937" spans="1:11">
      <c r="A4937" t="s">
        <v>5030</v>
      </c>
      <c r="B4937">
        <v>508108</v>
      </c>
      <c r="C4937" s="2" t="str">
        <f>"903035010"</f>
        <v>903035010</v>
      </c>
      <c r="D4937" t="s">
        <v>5046</v>
      </c>
      <c r="E4937" t="s">
        <v>4</v>
      </c>
      <c r="F4937">
        <v>22</v>
      </c>
      <c r="H4937" t="s">
        <v>5</v>
      </c>
      <c r="I4937" s="1">
        <v>82.23</v>
      </c>
      <c r="J4937" s="1">
        <v>81.22</v>
      </c>
      <c r="K4937" t="s">
        <v>6</v>
      </c>
    </row>
    <row r="4938" spans="1:11">
      <c r="A4938" t="s">
        <v>5030</v>
      </c>
      <c r="B4938">
        <v>508139</v>
      </c>
      <c r="C4938" s="2" t="str">
        <f>"905356832"</f>
        <v>905356832</v>
      </c>
      <c r="D4938" t="s">
        <v>5047</v>
      </c>
      <c r="E4938" t="s">
        <v>4</v>
      </c>
      <c r="F4938">
        <v>16</v>
      </c>
      <c r="H4938" t="s">
        <v>5</v>
      </c>
      <c r="I4938" s="1">
        <v>194.61</v>
      </c>
      <c r="J4938" s="1">
        <v>192.27</v>
      </c>
      <c r="K4938" t="s">
        <v>6</v>
      </c>
    </row>
    <row r="4939" spans="1:11">
      <c r="A4939" t="s">
        <v>5030</v>
      </c>
      <c r="B4939">
        <v>508148</v>
      </c>
      <c r="C4939" s="2" t="str">
        <f>"905356894"</f>
        <v>905356894</v>
      </c>
      <c r="D4939" t="s">
        <v>5048</v>
      </c>
      <c r="E4939" t="s">
        <v>4</v>
      </c>
      <c r="F4939">
        <v>14</v>
      </c>
      <c r="H4939" t="s">
        <v>5</v>
      </c>
      <c r="I4939" s="1">
        <v>162.37</v>
      </c>
      <c r="J4939" s="1">
        <v>160.41</v>
      </c>
      <c r="K4939" t="s">
        <v>6</v>
      </c>
    </row>
    <row r="4940" spans="1:11">
      <c r="A4940" t="s">
        <v>5030</v>
      </c>
      <c r="B4940">
        <v>508124</v>
      </c>
      <c r="C4940" s="2" t="str">
        <f>"911194002"</f>
        <v>911194002</v>
      </c>
      <c r="D4940" t="s">
        <v>5049</v>
      </c>
      <c r="E4940" t="s">
        <v>4</v>
      </c>
      <c r="F4940">
        <v>27</v>
      </c>
      <c r="H4940" t="s">
        <v>5</v>
      </c>
      <c r="I4940" s="1">
        <v>164.05</v>
      </c>
      <c r="J4940" s="1">
        <v>162.07</v>
      </c>
      <c r="K4940" t="s">
        <v>6</v>
      </c>
    </row>
    <row r="4941" spans="1:11">
      <c r="A4941" t="s">
        <v>5030</v>
      </c>
      <c r="B4941">
        <v>508125</v>
      </c>
      <c r="C4941" s="2" t="str">
        <f>"911194005"</f>
        <v>911194005</v>
      </c>
      <c r="D4941" t="s">
        <v>5050</v>
      </c>
      <c r="E4941" t="s">
        <v>4</v>
      </c>
      <c r="F4941">
        <v>34</v>
      </c>
      <c r="H4941" t="s">
        <v>5</v>
      </c>
      <c r="I4941" s="1">
        <v>247.05</v>
      </c>
      <c r="J4941" s="1">
        <v>244.08</v>
      </c>
      <c r="K4941" t="s">
        <v>6</v>
      </c>
    </row>
    <row r="4942" spans="1:11">
      <c r="A4942" t="s">
        <v>5030</v>
      </c>
      <c r="B4942">
        <v>508127</v>
      </c>
      <c r="C4942" s="2" t="str">
        <f>"911194006"</f>
        <v>911194006</v>
      </c>
      <c r="D4942" t="s">
        <v>5051</v>
      </c>
      <c r="E4942" t="s">
        <v>4</v>
      </c>
      <c r="F4942">
        <v>26</v>
      </c>
      <c r="H4942" t="s">
        <v>5</v>
      </c>
      <c r="I4942" s="1">
        <v>206.65</v>
      </c>
      <c r="J4942" s="1">
        <v>204.17</v>
      </c>
      <c r="K4942" t="s">
        <v>6</v>
      </c>
    </row>
    <row r="4943" spans="1:11">
      <c r="A4943" t="s">
        <v>5030</v>
      </c>
      <c r="B4943">
        <v>508129</v>
      </c>
      <c r="C4943" s="2" t="str">
        <f>"911194007"</f>
        <v>911194007</v>
      </c>
      <c r="D4943" t="s">
        <v>5052</v>
      </c>
      <c r="E4943" t="s">
        <v>4</v>
      </c>
      <c r="F4943">
        <v>20</v>
      </c>
      <c r="H4943" t="s">
        <v>5</v>
      </c>
      <c r="I4943" s="1">
        <v>112.26</v>
      </c>
      <c r="J4943" s="1">
        <v>110.9</v>
      </c>
      <c r="K4943" t="s">
        <v>6</v>
      </c>
    </row>
    <row r="4944" spans="1:11">
      <c r="A4944" t="s">
        <v>5030</v>
      </c>
      <c r="B4944">
        <v>508131</v>
      </c>
      <c r="C4944" s="2" t="str">
        <f>"911194015"</f>
        <v>911194015</v>
      </c>
      <c r="D4944" t="s">
        <v>5053</v>
      </c>
      <c r="E4944" t="s">
        <v>4</v>
      </c>
      <c r="F4944">
        <v>21</v>
      </c>
      <c r="H4944" t="s">
        <v>5</v>
      </c>
      <c r="I4944" s="1">
        <v>238.11</v>
      </c>
      <c r="J4944" s="1">
        <v>235.25</v>
      </c>
      <c r="K4944" t="s">
        <v>6</v>
      </c>
    </row>
    <row r="4945" spans="1:11">
      <c r="A4945" t="s">
        <v>5030</v>
      </c>
      <c r="B4945">
        <v>508132</v>
      </c>
      <c r="C4945" s="2" t="str">
        <f>"911194017"</f>
        <v>911194017</v>
      </c>
      <c r="D4945" t="s">
        <v>5054</v>
      </c>
      <c r="E4945" t="s">
        <v>4</v>
      </c>
      <c r="F4945">
        <v>20</v>
      </c>
      <c r="H4945" t="s">
        <v>5</v>
      </c>
      <c r="I4945" s="1">
        <v>172.08</v>
      </c>
      <c r="J4945" s="1">
        <v>170</v>
      </c>
      <c r="K4945" t="s">
        <v>6</v>
      </c>
    </row>
    <row r="4946" spans="1:11">
      <c r="A4946" t="s">
        <v>5030</v>
      </c>
      <c r="B4946">
        <v>508133</v>
      </c>
      <c r="C4946" s="2" t="str">
        <f>"911194018"</f>
        <v>911194018</v>
      </c>
      <c r="D4946" t="s">
        <v>5055</v>
      </c>
      <c r="E4946" t="s">
        <v>4</v>
      </c>
      <c r="F4946">
        <v>16</v>
      </c>
      <c r="H4946" t="s">
        <v>5</v>
      </c>
      <c r="I4946" s="1">
        <v>196.55</v>
      </c>
      <c r="J4946" s="1">
        <v>194.18</v>
      </c>
      <c r="K4946" t="s">
        <v>6</v>
      </c>
    </row>
    <row r="4947" spans="1:11">
      <c r="A4947" t="s">
        <v>5030</v>
      </c>
      <c r="B4947">
        <v>508134</v>
      </c>
      <c r="C4947" s="2" t="str">
        <f>"911194024"</f>
        <v>911194024</v>
      </c>
      <c r="D4947" t="s">
        <v>5056</v>
      </c>
      <c r="E4947" t="s">
        <v>4</v>
      </c>
      <c r="F4947">
        <v>22</v>
      </c>
      <c r="H4947" t="s">
        <v>5</v>
      </c>
      <c r="I4947" s="1">
        <v>205.1</v>
      </c>
      <c r="J4947" s="1">
        <v>202.63</v>
      </c>
      <c r="K4947" t="s">
        <v>6</v>
      </c>
    </row>
    <row r="4948" spans="1:11">
      <c r="A4948" t="s">
        <v>5030</v>
      </c>
      <c r="B4948">
        <v>508137</v>
      </c>
      <c r="C4948" s="2" t="str">
        <f>"911194028"</f>
        <v>911194028</v>
      </c>
      <c r="D4948" t="s">
        <v>5057</v>
      </c>
      <c r="E4948" t="s">
        <v>4</v>
      </c>
      <c r="F4948">
        <v>21</v>
      </c>
      <c r="H4948" t="s">
        <v>5</v>
      </c>
      <c r="I4948" s="1">
        <v>147.6</v>
      </c>
      <c r="J4948" s="1">
        <v>145.83000000000001</v>
      </c>
      <c r="K4948" t="s">
        <v>6</v>
      </c>
    </row>
    <row r="4949" spans="1:11">
      <c r="A4949" t="s">
        <v>5030</v>
      </c>
      <c r="B4949">
        <v>508110</v>
      </c>
      <c r="C4949" s="2" t="str">
        <f>"950027739"</f>
        <v>950027739</v>
      </c>
      <c r="D4949" t="s">
        <v>5058</v>
      </c>
      <c r="E4949" t="s">
        <v>4</v>
      </c>
      <c r="F4949">
        <v>20</v>
      </c>
      <c r="H4949" t="s">
        <v>5</v>
      </c>
      <c r="I4949" s="1">
        <v>167.28</v>
      </c>
      <c r="J4949" s="1">
        <v>165.27</v>
      </c>
      <c r="K4949" t="s">
        <v>6</v>
      </c>
    </row>
    <row r="4950" spans="1:11">
      <c r="A4950" t="s">
        <v>5030</v>
      </c>
      <c r="B4950">
        <v>508112</v>
      </c>
      <c r="C4950" s="2" t="str">
        <f>"950027747"</f>
        <v>950027747</v>
      </c>
      <c r="D4950" t="s">
        <v>5059</v>
      </c>
      <c r="E4950" t="s">
        <v>4</v>
      </c>
      <c r="F4950">
        <v>16</v>
      </c>
      <c r="H4950" t="s">
        <v>5</v>
      </c>
      <c r="I4950" s="1">
        <v>290.55</v>
      </c>
      <c r="J4950" s="1">
        <v>287.05</v>
      </c>
      <c r="K4950" t="s">
        <v>6</v>
      </c>
    </row>
    <row r="4951" spans="1:11">
      <c r="A4951" t="s">
        <v>5030</v>
      </c>
      <c r="B4951">
        <v>508113</v>
      </c>
      <c r="C4951" s="2" t="str">
        <f>"950038005"</f>
        <v>950038005</v>
      </c>
      <c r="D4951" t="s">
        <v>5060</v>
      </c>
      <c r="E4951" t="s">
        <v>4</v>
      </c>
      <c r="F4951">
        <v>26</v>
      </c>
      <c r="H4951" t="s">
        <v>5</v>
      </c>
      <c r="I4951" s="1">
        <v>253.66</v>
      </c>
      <c r="J4951" s="1">
        <v>250.6</v>
      </c>
      <c r="K4951" t="s">
        <v>6</v>
      </c>
    </row>
    <row r="4952" spans="1:11">
      <c r="A4952" t="s">
        <v>5030</v>
      </c>
      <c r="B4952">
        <v>508114</v>
      </c>
      <c r="C4952" s="2" t="str">
        <f>"950038007"</f>
        <v>950038007</v>
      </c>
      <c r="D4952" t="s">
        <v>5061</v>
      </c>
      <c r="E4952" t="s">
        <v>4</v>
      </c>
      <c r="F4952">
        <v>29</v>
      </c>
      <c r="H4952" t="s">
        <v>5</v>
      </c>
      <c r="I4952" s="1">
        <v>248.21</v>
      </c>
      <c r="J4952" s="1">
        <v>245.22</v>
      </c>
      <c r="K4952" t="s">
        <v>6</v>
      </c>
    </row>
    <row r="4953" spans="1:11">
      <c r="A4953" t="s">
        <v>5030</v>
      </c>
      <c r="B4953">
        <v>508115</v>
      </c>
      <c r="C4953" s="2" t="str">
        <f>"950038059"</f>
        <v>950038059</v>
      </c>
      <c r="D4953" t="s">
        <v>5062</v>
      </c>
      <c r="E4953" t="s">
        <v>4</v>
      </c>
      <c r="F4953">
        <v>15</v>
      </c>
      <c r="H4953" t="s">
        <v>5</v>
      </c>
      <c r="I4953" s="1">
        <v>194.61</v>
      </c>
      <c r="J4953" s="1">
        <v>192.27</v>
      </c>
      <c r="K4953" t="s">
        <v>6</v>
      </c>
    </row>
    <row r="4954" spans="1:11">
      <c r="A4954" t="s">
        <v>5030</v>
      </c>
      <c r="B4954">
        <v>508116</v>
      </c>
      <c r="C4954" s="2" t="str">
        <f>"950038127"</f>
        <v>950038127</v>
      </c>
      <c r="D4954" t="s">
        <v>5063</v>
      </c>
      <c r="E4954" t="s">
        <v>4</v>
      </c>
      <c r="F4954">
        <v>17</v>
      </c>
      <c r="H4954" t="s">
        <v>5</v>
      </c>
      <c r="I4954" s="1">
        <v>233.45</v>
      </c>
      <c r="J4954" s="1">
        <v>230.65</v>
      </c>
      <c r="K4954" t="s">
        <v>6</v>
      </c>
    </row>
    <row r="4955" spans="1:11">
      <c r="A4955" t="s">
        <v>5030</v>
      </c>
      <c r="B4955">
        <v>508117</v>
      </c>
      <c r="C4955" s="2" t="str">
        <f>"950038155"</f>
        <v>950038155</v>
      </c>
      <c r="D4955" t="s">
        <v>5064</v>
      </c>
      <c r="E4955" t="s">
        <v>4</v>
      </c>
      <c r="F4955">
        <v>15</v>
      </c>
      <c r="H4955" t="s">
        <v>5</v>
      </c>
      <c r="I4955" s="1">
        <v>162.37</v>
      </c>
      <c r="J4955" s="1">
        <v>160.41</v>
      </c>
      <c r="K4955" t="s">
        <v>6</v>
      </c>
    </row>
    <row r="4956" spans="1:11">
      <c r="A4956" t="s">
        <v>5030</v>
      </c>
      <c r="B4956">
        <v>508118</v>
      </c>
      <c r="C4956" s="2" t="str">
        <f>"950038261"</f>
        <v>950038261</v>
      </c>
      <c r="D4956" t="s">
        <v>5065</v>
      </c>
      <c r="E4956" t="s">
        <v>4</v>
      </c>
      <c r="F4956">
        <v>21</v>
      </c>
      <c r="H4956" t="s">
        <v>5</v>
      </c>
      <c r="I4956" s="1">
        <v>194.61</v>
      </c>
      <c r="J4956" s="1">
        <v>192.27</v>
      </c>
      <c r="K4956" t="s">
        <v>6</v>
      </c>
    </row>
    <row r="4957" spans="1:11">
      <c r="A4957" t="s">
        <v>5030</v>
      </c>
      <c r="B4957">
        <v>508119</v>
      </c>
      <c r="C4957" s="2" t="str">
        <f>"950038285"</f>
        <v>950038285</v>
      </c>
      <c r="D4957" t="s">
        <v>5066</v>
      </c>
      <c r="E4957" t="s">
        <v>4</v>
      </c>
      <c r="F4957">
        <v>29</v>
      </c>
      <c r="H4957" t="s">
        <v>5</v>
      </c>
      <c r="I4957" s="1">
        <v>219.86</v>
      </c>
      <c r="J4957" s="1">
        <v>217.2</v>
      </c>
      <c r="K4957" t="s">
        <v>6</v>
      </c>
    </row>
    <row r="4958" spans="1:11">
      <c r="A4958" t="s">
        <v>5030</v>
      </c>
      <c r="B4958">
        <v>508120</v>
      </c>
      <c r="C4958" s="2" t="str">
        <f>"950038310"</f>
        <v>950038310</v>
      </c>
      <c r="D4958" t="s">
        <v>5067</v>
      </c>
      <c r="E4958" t="s">
        <v>4</v>
      </c>
      <c r="F4958">
        <v>17</v>
      </c>
      <c r="H4958" t="s">
        <v>5</v>
      </c>
      <c r="I4958" s="1">
        <v>101.13</v>
      </c>
      <c r="J4958" s="1">
        <v>99.91</v>
      </c>
      <c r="K4958" t="s">
        <v>6</v>
      </c>
    </row>
    <row r="4959" spans="1:11">
      <c r="A4959" t="s">
        <v>5030</v>
      </c>
      <c r="B4959">
        <v>508121</v>
      </c>
      <c r="C4959" s="2" t="str">
        <f>"950038333"</f>
        <v>950038333</v>
      </c>
      <c r="D4959" t="s">
        <v>5068</v>
      </c>
      <c r="E4959" t="s">
        <v>4</v>
      </c>
      <c r="F4959">
        <v>25</v>
      </c>
      <c r="H4959" t="s">
        <v>5</v>
      </c>
      <c r="I4959" s="1">
        <v>157.31</v>
      </c>
      <c r="J4959" s="1">
        <v>155.43</v>
      </c>
      <c r="K4959" t="s">
        <v>6</v>
      </c>
    </row>
    <row r="4960" spans="1:11">
      <c r="A4960" t="s">
        <v>5030</v>
      </c>
      <c r="B4960">
        <v>508122</v>
      </c>
      <c r="C4960" s="2" t="str">
        <f>"950038387"</f>
        <v>950038387</v>
      </c>
      <c r="D4960" t="s">
        <v>5069</v>
      </c>
      <c r="E4960" t="s">
        <v>4</v>
      </c>
      <c r="F4960">
        <v>18</v>
      </c>
      <c r="H4960" t="s">
        <v>5</v>
      </c>
      <c r="I4960" s="1">
        <v>120.42</v>
      </c>
      <c r="J4960" s="1">
        <v>118.96</v>
      </c>
      <c r="K4960" t="s">
        <v>6</v>
      </c>
    </row>
    <row r="4961" spans="1:11">
      <c r="A4961" t="s">
        <v>5030</v>
      </c>
      <c r="B4961">
        <v>508126</v>
      </c>
      <c r="C4961" s="2" t="str">
        <f>"950038431"</f>
        <v>950038431</v>
      </c>
      <c r="D4961" t="s">
        <v>5070</v>
      </c>
      <c r="E4961" t="s">
        <v>4</v>
      </c>
      <c r="F4961">
        <v>18</v>
      </c>
      <c r="H4961" t="s">
        <v>5</v>
      </c>
      <c r="I4961" s="1">
        <v>177.91</v>
      </c>
      <c r="J4961" s="1">
        <v>175.76</v>
      </c>
      <c r="K4961" t="s">
        <v>6</v>
      </c>
    </row>
    <row r="4962" spans="1:11">
      <c r="A4962" t="s">
        <v>5030</v>
      </c>
      <c r="B4962">
        <v>508083</v>
      </c>
      <c r="C4962" s="2" t="str">
        <f>"950041080"</f>
        <v>950041080</v>
      </c>
      <c r="D4962" t="s">
        <v>5071</v>
      </c>
      <c r="E4962" t="s">
        <v>4</v>
      </c>
      <c r="F4962">
        <v>16</v>
      </c>
      <c r="H4962" t="s">
        <v>5</v>
      </c>
      <c r="I4962" s="1">
        <v>273.47000000000003</v>
      </c>
      <c r="J4962" s="1">
        <v>270.17</v>
      </c>
      <c r="K4962" t="s">
        <v>6</v>
      </c>
    </row>
    <row r="4963" spans="1:11">
      <c r="A4963" t="s">
        <v>5030</v>
      </c>
      <c r="B4963">
        <v>508088</v>
      </c>
      <c r="C4963" s="2" t="str">
        <f>"950041111"</f>
        <v>950041111</v>
      </c>
      <c r="D4963" t="s">
        <v>5072</v>
      </c>
      <c r="E4963" t="s">
        <v>4</v>
      </c>
      <c r="F4963">
        <v>20</v>
      </c>
      <c r="H4963" t="s">
        <v>5</v>
      </c>
      <c r="I4963" s="1">
        <v>243.56</v>
      </c>
      <c r="J4963" s="1">
        <v>240.62</v>
      </c>
      <c r="K4963" t="s">
        <v>6</v>
      </c>
    </row>
    <row r="4964" spans="1:11">
      <c r="A4964" t="s">
        <v>5030</v>
      </c>
      <c r="B4964">
        <v>508089</v>
      </c>
      <c r="C4964" s="2" t="str">
        <f>"950041436"</f>
        <v>950041436</v>
      </c>
      <c r="D4964" t="s">
        <v>5073</v>
      </c>
      <c r="E4964" t="s">
        <v>4</v>
      </c>
      <c r="F4964">
        <v>16</v>
      </c>
      <c r="H4964" t="s">
        <v>5</v>
      </c>
      <c r="I4964" s="1">
        <v>179.47</v>
      </c>
      <c r="J4964" s="1">
        <v>177.29</v>
      </c>
      <c r="K4964" t="s">
        <v>6</v>
      </c>
    </row>
    <row r="4965" spans="1:11">
      <c r="A4965" t="s">
        <v>5030</v>
      </c>
      <c r="B4965">
        <v>508090</v>
      </c>
      <c r="C4965" s="2" t="str">
        <f>"950041519"</f>
        <v>950041519</v>
      </c>
      <c r="D4965" t="s">
        <v>5074</v>
      </c>
      <c r="E4965" t="s">
        <v>4</v>
      </c>
      <c r="F4965">
        <v>24</v>
      </c>
      <c r="H4965" t="s">
        <v>5</v>
      </c>
      <c r="I4965" s="1">
        <v>200.04</v>
      </c>
      <c r="J4965" s="1">
        <v>197.64</v>
      </c>
      <c r="K4965" t="s">
        <v>6</v>
      </c>
    </row>
    <row r="4966" spans="1:11">
      <c r="A4966" t="s">
        <v>5030</v>
      </c>
      <c r="B4966">
        <v>508092</v>
      </c>
      <c r="C4966" s="2" t="str">
        <f>"950041526"</f>
        <v>950041526</v>
      </c>
      <c r="D4966" t="s">
        <v>5075</v>
      </c>
      <c r="E4966" t="s">
        <v>4</v>
      </c>
      <c r="F4966">
        <v>19</v>
      </c>
      <c r="H4966" t="s">
        <v>5</v>
      </c>
      <c r="I4966" s="1">
        <v>262.58999999999997</v>
      </c>
      <c r="J4966" s="1">
        <v>259.43</v>
      </c>
      <c r="K4966" t="s">
        <v>6</v>
      </c>
    </row>
    <row r="4967" spans="1:11">
      <c r="A4967" t="s">
        <v>5076</v>
      </c>
      <c r="B4967">
        <v>476153</v>
      </c>
      <c r="C4967" s="2" t="str">
        <f>"001121-45"</f>
        <v>001121-45</v>
      </c>
      <c r="D4967" t="s">
        <v>5077</v>
      </c>
      <c r="E4967" t="s">
        <v>4</v>
      </c>
      <c r="F4967">
        <v>0.02</v>
      </c>
      <c r="H4967" t="s">
        <v>5</v>
      </c>
      <c r="I4967" s="1">
        <v>3.76</v>
      </c>
      <c r="J4967" s="1">
        <v>3.54</v>
      </c>
      <c r="K4967" t="s">
        <v>6</v>
      </c>
    </row>
    <row r="4968" spans="1:11">
      <c r="A4968" t="s">
        <v>5076</v>
      </c>
      <c r="B4968">
        <v>476152</v>
      </c>
      <c r="C4968" s="2" t="str">
        <f>"007861-45"</f>
        <v>007861-45</v>
      </c>
      <c r="D4968" t="s">
        <v>5078</v>
      </c>
      <c r="E4968" t="s">
        <v>4</v>
      </c>
      <c r="F4968">
        <v>0.01</v>
      </c>
      <c r="H4968" t="s">
        <v>5</v>
      </c>
      <c r="I4968" s="1">
        <v>2.21</v>
      </c>
      <c r="J4968" s="1">
        <v>2.08</v>
      </c>
      <c r="K4968" t="s">
        <v>6</v>
      </c>
    </row>
    <row r="4969" spans="1:11">
      <c r="A4969" t="s">
        <v>5076</v>
      </c>
      <c r="B4969">
        <v>476168</v>
      </c>
      <c r="C4969" s="2" t="str">
        <f>"062X"</f>
        <v>062X</v>
      </c>
      <c r="D4969" t="s">
        <v>5079</v>
      </c>
      <c r="E4969" t="s">
        <v>4</v>
      </c>
      <c r="F4969">
        <v>1</v>
      </c>
      <c r="H4969" t="s">
        <v>5</v>
      </c>
      <c r="I4969" s="1">
        <v>28.89</v>
      </c>
      <c r="J4969" s="1">
        <v>27.19</v>
      </c>
      <c r="K4969" t="s">
        <v>6</v>
      </c>
    </row>
    <row r="4970" spans="1:11">
      <c r="A4970" t="s">
        <v>5076</v>
      </c>
      <c r="B4970">
        <v>476167</v>
      </c>
      <c r="C4970" s="2" t="str">
        <f>"068X"</f>
        <v>068X</v>
      </c>
      <c r="D4970" t="s">
        <v>5080</v>
      </c>
      <c r="E4970" t="s">
        <v>4</v>
      </c>
      <c r="F4970">
        <v>1</v>
      </c>
      <c r="H4970" t="s">
        <v>5</v>
      </c>
      <c r="I4970" s="1">
        <v>63.61</v>
      </c>
      <c r="J4970" s="1">
        <v>59.86</v>
      </c>
      <c r="K4970" t="s">
        <v>6</v>
      </c>
    </row>
    <row r="4971" spans="1:11">
      <c r="A4971" t="s">
        <v>5076</v>
      </c>
      <c r="B4971">
        <v>476154</v>
      </c>
      <c r="C4971" s="2" t="str">
        <f>"B-0044-H"</f>
        <v>B-0044-H</v>
      </c>
      <c r="D4971" t="s">
        <v>5081</v>
      </c>
      <c r="E4971" t="s">
        <v>4</v>
      </c>
      <c r="F4971">
        <v>2</v>
      </c>
      <c r="H4971" t="s">
        <v>5</v>
      </c>
      <c r="I4971" s="1">
        <v>62.94</v>
      </c>
      <c r="J4971" s="1">
        <v>59.24</v>
      </c>
      <c r="K4971" t="s">
        <v>6</v>
      </c>
    </row>
    <row r="4972" spans="1:11">
      <c r="A4972" t="s">
        <v>5076</v>
      </c>
      <c r="B4972">
        <v>476149</v>
      </c>
      <c r="C4972" s="2" t="str">
        <f>"B-0107"</f>
        <v>B-0107</v>
      </c>
      <c r="D4972" t="s">
        <v>5082</v>
      </c>
      <c r="E4972" t="s">
        <v>4</v>
      </c>
      <c r="F4972">
        <v>1.1599999999999999</v>
      </c>
      <c r="H4972" t="s">
        <v>5</v>
      </c>
      <c r="I4972" s="1">
        <v>71.12</v>
      </c>
      <c r="J4972" s="1">
        <v>66.94</v>
      </c>
      <c r="K4972" t="s">
        <v>6</v>
      </c>
    </row>
    <row r="4973" spans="1:11">
      <c r="A4973" t="s">
        <v>5076</v>
      </c>
      <c r="B4973">
        <v>476150</v>
      </c>
      <c r="C4973" s="2" t="str">
        <f>"B-0107-C"</f>
        <v>B-0107-C</v>
      </c>
      <c r="D4973" t="s">
        <v>5083</v>
      </c>
      <c r="E4973" t="s">
        <v>4</v>
      </c>
      <c r="F4973">
        <v>1.1599999999999999</v>
      </c>
      <c r="H4973" t="s">
        <v>5</v>
      </c>
      <c r="I4973" s="1">
        <v>71.12</v>
      </c>
      <c r="J4973" s="1">
        <v>66.94</v>
      </c>
      <c r="K4973" t="s">
        <v>6</v>
      </c>
    </row>
    <row r="4974" spans="1:11">
      <c r="A4974" t="s">
        <v>5076</v>
      </c>
      <c r="B4974">
        <v>476157</v>
      </c>
      <c r="C4974" s="2" t="str">
        <f>"B-0109-01"</f>
        <v>B-0109-01</v>
      </c>
      <c r="D4974" t="s">
        <v>5084</v>
      </c>
      <c r="E4974" t="s">
        <v>4</v>
      </c>
      <c r="F4974">
        <v>0.83</v>
      </c>
      <c r="H4974" t="s">
        <v>5</v>
      </c>
      <c r="I4974" s="1">
        <v>41.94</v>
      </c>
      <c r="J4974" s="1">
        <v>39.47</v>
      </c>
      <c r="K4974" t="s">
        <v>6</v>
      </c>
    </row>
    <row r="4975" spans="1:11">
      <c r="A4975" t="s">
        <v>5076</v>
      </c>
      <c r="B4975">
        <v>476155</v>
      </c>
      <c r="C4975" s="2" t="str">
        <f>"B-0113-B"</f>
        <v>B-0113-B</v>
      </c>
      <c r="D4975" t="s">
        <v>5085</v>
      </c>
      <c r="E4975" t="s">
        <v>4</v>
      </c>
      <c r="F4975">
        <v>13</v>
      </c>
      <c r="H4975" t="s">
        <v>5</v>
      </c>
      <c r="I4975" s="1">
        <v>355.99</v>
      </c>
      <c r="J4975" s="1">
        <v>335.05</v>
      </c>
      <c r="K4975" t="s">
        <v>6</v>
      </c>
    </row>
    <row r="4976" spans="1:11">
      <c r="A4976" t="s">
        <v>5076</v>
      </c>
      <c r="B4976">
        <v>476156</v>
      </c>
      <c r="C4976" s="2" t="str">
        <f>"B-0133-B"</f>
        <v>B-0133-B</v>
      </c>
      <c r="D4976" t="s">
        <v>5086</v>
      </c>
      <c r="E4976" t="s">
        <v>4</v>
      </c>
      <c r="F4976">
        <v>12.25</v>
      </c>
      <c r="H4976" t="s">
        <v>5</v>
      </c>
      <c r="I4976" s="1">
        <v>378.1</v>
      </c>
      <c r="J4976" s="1">
        <v>355.86</v>
      </c>
      <c r="K4976" t="s">
        <v>6</v>
      </c>
    </row>
    <row r="4977" spans="1:12">
      <c r="A4977" t="s">
        <v>5076</v>
      </c>
      <c r="B4977">
        <v>481534</v>
      </c>
      <c r="C4977" s="2" t="str">
        <f>"B-0155"</f>
        <v>B-0155</v>
      </c>
      <c r="D4977" t="s">
        <v>5087</v>
      </c>
      <c r="E4977" t="s">
        <v>4</v>
      </c>
      <c r="F4977">
        <v>3.16</v>
      </c>
      <c r="H4977" t="s">
        <v>5</v>
      </c>
      <c r="I4977" s="1">
        <v>89.55</v>
      </c>
      <c r="J4977" s="1">
        <v>84.28</v>
      </c>
      <c r="K4977" t="s">
        <v>6</v>
      </c>
    </row>
    <row r="4978" spans="1:12">
      <c r="A4978" t="s">
        <v>5076</v>
      </c>
      <c r="B4978">
        <v>476165</v>
      </c>
      <c r="C4978" s="2" t="str">
        <f>"B-0200-LN"</f>
        <v>B-0200-LN</v>
      </c>
      <c r="D4978" t="s">
        <v>5088</v>
      </c>
      <c r="E4978" t="s">
        <v>4</v>
      </c>
      <c r="F4978">
        <v>4.25</v>
      </c>
      <c r="H4978" t="s">
        <v>5</v>
      </c>
      <c r="I4978" s="1">
        <v>135.61000000000001</v>
      </c>
      <c r="J4978" s="1">
        <v>127.64</v>
      </c>
      <c r="K4978" t="s">
        <v>6</v>
      </c>
    </row>
    <row r="4979" spans="1:12">
      <c r="A4979" t="s">
        <v>5076</v>
      </c>
      <c r="B4979">
        <v>476160</v>
      </c>
      <c r="C4979" s="2" t="str">
        <f>"B-0231"</f>
        <v>B-0231</v>
      </c>
      <c r="D4979" t="s">
        <v>5089</v>
      </c>
      <c r="E4979" t="s">
        <v>4</v>
      </c>
      <c r="F4979">
        <v>5.66</v>
      </c>
      <c r="H4979" t="s">
        <v>5</v>
      </c>
      <c r="I4979" s="1">
        <v>154.78</v>
      </c>
      <c r="J4979" s="1">
        <v>145.66999999999999</v>
      </c>
      <c r="K4979" t="s">
        <v>6</v>
      </c>
    </row>
    <row r="4980" spans="1:12">
      <c r="A4980" t="s">
        <v>5076</v>
      </c>
      <c r="B4980">
        <v>476151</v>
      </c>
      <c r="C4980" s="2" t="str">
        <f>"B-10K"</f>
        <v>B-10K</v>
      </c>
      <c r="D4980" t="s">
        <v>5090</v>
      </c>
      <c r="E4980" t="s">
        <v>4</v>
      </c>
      <c r="F4980">
        <v>0.1</v>
      </c>
      <c r="H4980" t="s">
        <v>5</v>
      </c>
      <c r="I4980" s="1">
        <v>16.29</v>
      </c>
      <c r="J4980" s="1">
        <v>15.33</v>
      </c>
      <c r="K4980" t="s">
        <v>6</v>
      </c>
    </row>
    <row r="4981" spans="1:12">
      <c r="A4981" t="s">
        <v>5076</v>
      </c>
      <c r="B4981">
        <v>476159</v>
      </c>
      <c r="C4981" s="2" t="str">
        <f>"B-1127"</f>
        <v>B-1127</v>
      </c>
      <c r="D4981" t="s">
        <v>5091</v>
      </c>
      <c r="E4981" t="s">
        <v>4</v>
      </c>
      <c r="F4981">
        <v>4.25</v>
      </c>
      <c r="H4981" t="s">
        <v>5</v>
      </c>
      <c r="I4981" s="1">
        <v>141.13999999999999</v>
      </c>
      <c r="J4981" s="1">
        <v>132.84</v>
      </c>
      <c r="K4981" t="s">
        <v>6</v>
      </c>
    </row>
    <row r="4982" spans="1:12">
      <c r="A4982" t="s">
        <v>5076</v>
      </c>
      <c r="B4982">
        <v>476158</v>
      </c>
      <c r="C4982" s="2" t="str">
        <f>"B-1210"</f>
        <v>B-1210</v>
      </c>
      <c r="D4982" t="s">
        <v>5092</v>
      </c>
      <c r="E4982" t="s">
        <v>4</v>
      </c>
      <c r="F4982">
        <v>2.76</v>
      </c>
      <c r="H4982" t="s">
        <v>5</v>
      </c>
      <c r="I4982" s="1">
        <v>129.72</v>
      </c>
      <c r="J4982" s="1">
        <v>122.09</v>
      </c>
      <c r="K4982" t="s">
        <v>6</v>
      </c>
    </row>
    <row r="4983" spans="1:12">
      <c r="A4983" t="s">
        <v>5076</v>
      </c>
      <c r="B4983">
        <v>476162</v>
      </c>
      <c r="C4983" s="2" t="str">
        <f>"B-1255"</f>
        <v>B-1255</v>
      </c>
      <c r="D4983" t="s">
        <v>5093</v>
      </c>
      <c r="E4983" t="s">
        <v>4</v>
      </c>
      <c r="F4983">
        <v>0.08</v>
      </c>
      <c r="H4983" t="s">
        <v>5</v>
      </c>
      <c r="I4983" s="1">
        <v>29.33</v>
      </c>
      <c r="J4983" s="1">
        <v>27.61</v>
      </c>
      <c r="K4983" t="s">
        <v>6</v>
      </c>
    </row>
    <row r="4984" spans="1:12">
      <c r="A4984" t="s">
        <v>5076</v>
      </c>
      <c r="B4984">
        <v>538941</v>
      </c>
      <c r="C4984" s="2" t="str">
        <f>"B-1256"</f>
        <v>B-1256</v>
      </c>
      <c r="D4984" t="s">
        <v>5094</v>
      </c>
      <c r="E4984" t="s">
        <v>4</v>
      </c>
      <c r="F4984">
        <v>0.3</v>
      </c>
      <c r="H4984" t="s">
        <v>5</v>
      </c>
      <c r="I4984" s="1">
        <v>44.37</v>
      </c>
      <c r="J4984" s="1">
        <v>41.76</v>
      </c>
      <c r="K4984" t="s">
        <v>6</v>
      </c>
    </row>
    <row r="4985" spans="1:12">
      <c r="A4985" t="s">
        <v>5076</v>
      </c>
      <c r="B4985">
        <v>476161</v>
      </c>
      <c r="C4985" s="2" t="str">
        <f>"BR10"</f>
        <v>BR10</v>
      </c>
      <c r="D4985" t="s">
        <v>5095</v>
      </c>
      <c r="E4985" t="s">
        <v>4</v>
      </c>
      <c r="F4985">
        <v>0.14000000000000001</v>
      </c>
      <c r="H4985" t="s">
        <v>5</v>
      </c>
      <c r="I4985" s="1">
        <v>31.69</v>
      </c>
      <c r="J4985" s="1">
        <v>29.83</v>
      </c>
      <c r="K4985" t="s">
        <v>6</v>
      </c>
    </row>
    <row r="4986" spans="1:12">
      <c r="A4986" t="s">
        <v>5076</v>
      </c>
      <c r="B4986">
        <v>487149</v>
      </c>
      <c r="C4986" s="2" t="str">
        <f>"HG-4C-48SK"</f>
        <v>HG-4C-48SK</v>
      </c>
      <c r="D4986" t="s">
        <v>5096</v>
      </c>
      <c r="E4986" t="s">
        <v>4</v>
      </c>
      <c r="F4986">
        <v>7</v>
      </c>
      <c r="H4986" t="s">
        <v>5</v>
      </c>
      <c r="I4986" s="1">
        <v>162.57</v>
      </c>
      <c r="J4986" s="1">
        <v>159.38</v>
      </c>
      <c r="K4986" t="s">
        <v>6</v>
      </c>
    </row>
    <row r="4987" spans="1:12">
      <c r="A4987" t="s">
        <v>5076</v>
      </c>
      <c r="B4987">
        <v>487148</v>
      </c>
      <c r="C4987" s="2" t="str">
        <f>"HG-4D-48SK"</f>
        <v>HG-4D-48SK</v>
      </c>
      <c r="D4987" t="s">
        <v>5097</v>
      </c>
      <c r="E4987" t="s">
        <v>4</v>
      </c>
      <c r="F4987">
        <v>8</v>
      </c>
      <c r="H4987" t="s">
        <v>5</v>
      </c>
      <c r="I4987" s="1">
        <v>182.87</v>
      </c>
      <c r="J4987" s="1">
        <v>179.28</v>
      </c>
      <c r="K4987" t="s">
        <v>6</v>
      </c>
    </row>
    <row r="4988" spans="1:12">
      <c r="A4988" t="s">
        <v>5098</v>
      </c>
      <c r="B4988">
        <v>391425</v>
      </c>
      <c r="C4988" s="2" t="str">
        <f>"100TC"</f>
        <v>100TC</v>
      </c>
      <c r="D4988" t="s">
        <v>5099</v>
      </c>
      <c r="E4988" t="s">
        <v>4</v>
      </c>
      <c r="F4988">
        <v>0.14000000000000001</v>
      </c>
      <c r="H4988" t="s">
        <v>5</v>
      </c>
      <c r="I4988" s="1">
        <v>2.91</v>
      </c>
      <c r="J4988" s="1">
        <v>2.91</v>
      </c>
      <c r="K4988" t="s">
        <v>6</v>
      </c>
    </row>
    <row r="4989" spans="1:12">
      <c r="A4989" t="s">
        <v>5098</v>
      </c>
      <c r="B4989">
        <v>380468</v>
      </c>
      <c r="C4989" s="2" t="str">
        <f>"101"</f>
        <v>101</v>
      </c>
      <c r="D4989" t="s">
        <v>5100</v>
      </c>
      <c r="E4989" t="s">
        <v>4</v>
      </c>
      <c r="F4989">
        <v>15</v>
      </c>
      <c r="G4989">
        <v>1.25</v>
      </c>
      <c r="H4989" t="s">
        <v>106</v>
      </c>
      <c r="I4989" s="1">
        <v>3.32</v>
      </c>
      <c r="J4989" s="1">
        <v>3.32</v>
      </c>
      <c r="K4989" t="s">
        <v>457</v>
      </c>
      <c r="L4989" s="1">
        <v>3.65</v>
      </c>
    </row>
    <row r="4990" spans="1:12">
      <c r="A4990" t="s">
        <v>5098</v>
      </c>
      <c r="B4990">
        <v>380453</v>
      </c>
      <c r="C4990" s="2" t="str">
        <f>"1023"</f>
        <v>1023</v>
      </c>
      <c r="D4990" t="s">
        <v>5101</v>
      </c>
      <c r="E4990" t="s">
        <v>4</v>
      </c>
      <c r="F4990">
        <v>15.3</v>
      </c>
      <c r="G4990">
        <v>2.5499999999999998</v>
      </c>
      <c r="H4990" t="s">
        <v>20</v>
      </c>
      <c r="I4990" s="1">
        <v>19.86</v>
      </c>
      <c r="J4990" s="1">
        <v>19.86</v>
      </c>
      <c r="K4990" t="s">
        <v>457</v>
      </c>
      <c r="L4990" s="1">
        <v>21.85</v>
      </c>
    </row>
    <row r="4991" spans="1:12">
      <c r="A4991" t="s">
        <v>5098</v>
      </c>
      <c r="B4991">
        <v>397383</v>
      </c>
      <c r="C4991" s="2" t="str">
        <f>"1053"</f>
        <v>1053</v>
      </c>
      <c r="D4991" t="s">
        <v>5102</v>
      </c>
      <c r="E4991" t="s">
        <v>4</v>
      </c>
      <c r="F4991">
        <v>7</v>
      </c>
      <c r="H4991" t="s">
        <v>5</v>
      </c>
      <c r="I4991" s="1">
        <v>64.430000000000007</v>
      </c>
      <c r="J4991" s="1">
        <v>64.430000000000007</v>
      </c>
      <c r="K4991" t="s">
        <v>6</v>
      </c>
    </row>
    <row r="4992" spans="1:12">
      <c r="A4992" t="s">
        <v>5098</v>
      </c>
      <c r="B4992">
        <v>399371</v>
      </c>
      <c r="C4992" s="2" t="str">
        <f>"1071R"</f>
        <v>1071R</v>
      </c>
      <c r="D4992" t="s">
        <v>5103</v>
      </c>
      <c r="E4992" t="s">
        <v>4</v>
      </c>
      <c r="F4992">
        <v>4</v>
      </c>
      <c r="H4992" t="s">
        <v>5</v>
      </c>
      <c r="I4992" s="1">
        <v>19.420000000000002</v>
      </c>
      <c r="J4992" s="1">
        <v>19.420000000000002</v>
      </c>
      <c r="K4992" t="s">
        <v>6</v>
      </c>
    </row>
    <row r="4993" spans="1:11">
      <c r="A4993" t="s">
        <v>5098</v>
      </c>
      <c r="B4993">
        <v>461877</v>
      </c>
      <c r="C4993" s="2" t="str">
        <f>"1073BK"</f>
        <v>1073BK</v>
      </c>
      <c r="D4993" t="s">
        <v>5104</v>
      </c>
      <c r="E4993" t="s">
        <v>4</v>
      </c>
      <c r="F4993">
        <v>5</v>
      </c>
      <c r="H4993" t="s">
        <v>5</v>
      </c>
      <c r="I4993" s="1">
        <v>30.19</v>
      </c>
      <c r="J4993" s="1">
        <v>30.19</v>
      </c>
      <c r="K4993" t="s">
        <v>6</v>
      </c>
    </row>
    <row r="4994" spans="1:11">
      <c r="A4994" t="s">
        <v>5098</v>
      </c>
      <c r="B4994">
        <v>380148</v>
      </c>
      <c r="C4994" s="2" t="str">
        <f>"1074BK"</f>
        <v>1074BK</v>
      </c>
      <c r="D4994" t="s">
        <v>5105</v>
      </c>
      <c r="E4994" t="s">
        <v>4</v>
      </c>
      <c r="F4994">
        <v>4</v>
      </c>
      <c r="H4994" t="s">
        <v>5</v>
      </c>
      <c r="I4994" s="1">
        <v>19.420000000000002</v>
      </c>
      <c r="J4994" s="1">
        <v>19.420000000000002</v>
      </c>
      <c r="K4994" t="s">
        <v>6</v>
      </c>
    </row>
    <row r="4995" spans="1:11">
      <c r="A4995" t="s">
        <v>5098</v>
      </c>
      <c r="B4995">
        <v>380147</v>
      </c>
      <c r="C4995" s="2" t="str">
        <f>"1074BR"</f>
        <v>1074BR</v>
      </c>
      <c r="D4995" t="s">
        <v>5106</v>
      </c>
      <c r="E4995" t="s">
        <v>4</v>
      </c>
      <c r="F4995">
        <v>4</v>
      </c>
      <c r="H4995" t="s">
        <v>5</v>
      </c>
      <c r="I4995" s="1">
        <v>19.420000000000002</v>
      </c>
      <c r="J4995" s="1">
        <v>19.420000000000002</v>
      </c>
      <c r="K4995" t="s">
        <v>6</v>
      </c>
    </row>
    <row r="4996" spans="1:11">
      <c r="A4996" t="s">
        <v>5098</v>
      </c>
      <c r="B4996">
        <v>380149</v>
      </c>
      <c r="C4996" s="2" t="str">
        <f>"1074FG"</f>
        <v>1074FG</v>
      </c>
      <c r="D4996" t="s">
        <v>5107</v>
      </c>
      <c r="E4996" t="s">
        <v>4</v>
      </c>
      <c r="F4996">
        <v>4</v>
      </c>
      <c r="H4996" t="s">
        <v>5</v>
      </c>
      <c r="I4996" s="1">
        <v>19.420000000000002</v>
      </c>
      <c r="J4996" s="1">
        <v>19.420000000000002</v>
      </c>
      <c r="K4996" t="s">
        <v>6</v>
      </c>
    </row>
    <row r="4997" spans="1:11">
      <c r="A4997" t="s">
        <v>5098</v>
      </c>
      <c r="B4997">
        <v>393111</v>
      </c>
      <c r="C4997" s="2" t="str">
        <f>"1074G"</f>
        <v>1074G</v>
      </c>
      <c r="D4997" t="s">
        <v>5108</v>
      </c>
      <c r="E4997" t="s">
        <v>4</v>
      </c>
      <c r="F4997">
        <v>4</v>
      </c>
      <c r="H4997" t="s">
        <v>5</v>
      </c>
      <c r="I4997" s="1">
        <v>19.420000000000002</v>
      </c>
      <c r="J4997" s="1">
        <v>19.420000000000002</v>
      </c>
      <c r="K4997" t="s">
        <v>6</v>
      </c>
    </row>
    <row r="4998" spans="1:11">
      <c r="A4998" t="s">
        <v>5098</v>
      </c>
      <c r="B4998">
        <v>380150</v>
      </c>
      <c r="C4998" s="2" t="str">
        <f>"1074R"</f>
        <v>1074R</v>
      </c>
      <c r="D4998" t="s">
        <v>5109</v>
      </c>
      <c r="E4998" t="s">
        <v>4</v>
      </c>
      <c r="F4998">
        <v>4</v>
      </c>
      <c r="H4998" t="s">
        <v>5</v>
      </c>
      <c r="I4998" s="1">
        <v>19.420000000000002</v>
      </c>
      <c r="J4998" s="1">
        <v>19.420000000000002</v>
      </c>
      <c r="K4998" t="s">
        <v>6</v>
      </c>
    </row>
    <row r="4999" spans="1:11">
      <c r="A4999" t="s">
        <v>5098</v>
      </c>
      <c r="B4999">
        <v>380151</v>
      </c>
      <c r="C4999" s="2" t="str">
        <f>"1074Y"</f>
        <v>1074Y</v>
      </c>
      <c r="D4999" t="s">
        <v>5110</v>
      </c>
      <c r="E4999" t="s">
        <v>4</v>
      </c>
      <c r="F4999">
        <v>4</v>
      </c>
      <c r="H4999" t="s">
        <v>5</v>
      </c>
      <c r="I4999" s="1">
        <v>19.420000000000002</v>
      </c>
      <c r="J4999" s="1">
        <v>19.420000000000002</v>
      </c>
      <c r="K4999" t="s">
        <v>6</v>
      </c>
    </row>
    <row r="5000" spans="1:11">
      <c r="A5000" t="s">
        <v>5098</v>
      </c>
      <c r="B5000">
        <v>421388</v>
      </c>
      <c r="C5000" s="2" t="str">
        <f>"1075R"</f>
        <v>1075R</v>
      </c>
      <c r="D5000" t="s">
        <v>5111</v>
      </c>
      <c r="E5000" t="s">
        <v>4</v>
      </c>
      <c r="F5000">
        <v>5</v>
      </c>
      <c r="H5000" t="s">
        <v>5</v>
      </c>
      <c r="I5000" s="1">
        <v>33.93</v>
      </c>
      <c r="J5000" s="1">
        <v>33.93</v>
      </c>
      <c r="K5000" t="s">
        <v>6</v>
      </c>
    </row>
    <row r="5001" spans="1:11">
      <c r="A5001" t="s">
        <v>5098</v>
      </c>
      <c r="B5001">
        <v>380143</v>
      </c>
      <c r="C5001" s="2" t="str">
        <f>"1076BK"</f>
        <v>1076BK</v>
      </c>
      <c r="D5001" t="s">
        <v>5112</v>
      </c>
      <c r="E5001" t="s">
        <v>4</v>
      </c>
      <c r="F5001">
        <v>7</v>
      </c>
      <c r="H5001" t="s">
        <v>5</v>
      </c>
      <c r="I5001" s="1">
        <v>33.93</v>
      </c>
      <c r="J5001" s="1">
        <v>33.93</v>
      </c>
      <c r="K5001" t="s">
        <v>6</v>
      </c>
    </row>
    <row r="5002" spans="1:11">
      <c r="A5002" t="s">
        <v>5098</v>
      </c>
      <c r="B5002">
        <v>389533</v>
      </c>
      <c r="C5002" s="2" t="str">
        <f>"1076BL"</f>
        <v>1076BL</v>
      </c>
      <c r="D5002" t="s">
        <v>5113</v>
      </c>
      <c r="E5002" t="s">
        <v>4</v>
      </c>
      <c r="F5002">
        <v>6</v>
      </c>
      <c r="H5002" t="s">
        <v>5</v>
      </c>
      <c r="I5002" s="1">
        <v>33.93</v>
      </c>
      <c r="J5002" s="1">
        <v>33.93</v>
      </c>
      <c r="K5002" t="s">
        <v>6</v>
      </c>
    </row>
    <row r="5003" spans="1:11">
      <c r="A5003" t="s">
        <v>5098</v>
      </c>
      <c r="B5003">
        <v>380142</v>
      </c>
      <c r="C5003" s="2" t="str">
        <f>"1076BR"</f>
        <v>1076BR</v>
      </c>
      <c r="D5003" t="s">
        <v>5114</v>
      </c>
      <c r="E5003" t="s">
        <v>4</v>
      </c>
      <c r="F5003">
        <v>7</v>
      </c>
      <c r="H5003" t="s">
        <v>5</v>
      </c>
      <c r="I5003" s="1">
        <v>33.93</v>
      </c>
      <c r="J5003" s="1">
        <v>33.93</v>
      </c>
      <c r="K5003" t="s">
        <v>6</v>
      </c>
    </row>
    <row r="5004" spans="1:11">
      <c r="A5004" t="s">
        <v>5098</v>
      </c>
      <c r="B5004">
        <v>380144</v>
      </c>
      <c r="C5004" s="2" t="str">
        <f>"1076FG"</f>
        <v>1076FG</v>
      </c>
      <c r="D5004" t="s">
        <v>5115</v>
      </c>
      <c r="E5004" t="s">
        <v>4</v>
      </c>
      <c r="F5004">
        <v>7</v>
      </c>
      <c r="H5004" t="s">
        <v>5</v>
      </c>
      <c r="I5004" s="1">
        <v>33.93</v>
      </c>
      <c r="J5004" s="1">
        <v>33.93</v>
      </c>
      <c r="K5004" t="s">
        <v>6</v>
      </c>
    </row>
    <row r="5005" spans="1:11">
      <c r="A5005" t="s">
        <v>5098</v>
      </c>
      <c r="B5005">
        <v>380145</v>
      </c>
      <c r="C5005" s="2" t="str">
        <f>"1076R"</f>
        <v>1076R</v>
      </c>
      <c r="D5005" t="s">
        <v>5116</v>
      </c>
      <c r="E5005" t="s">
        <v>4</v>
      </c>
      <c r="F5005">
        <v>7</v>
      </c>
      <c r="H5005" t="s">
        <v>5</v>
      </c>
      <c r="I5005" s="1">
        <v>33.93</v>
      </c>
      <c r="J5005" s="1">
        <v>33.93</v>
      </c>
      <c r="K5005" t="s">
        <v>6</v>
      </c>
    </row>
    <row r="5006" spans="1:11">
      <c r="A5006" t="s">
        <v>5098</v>
      </c>
      <c r="B5006">
        <v>380146</v>
      </c>
      <c r="C5006" s="2" t="str">
        <f>"1076Y"</f>
        <v>1076Y</v>
      </c>
      <c r="D5006" t="s">
        <v>5117</v>
      </c>
      <c r="E5006" t="s">
        <v>4</v>
      </c>
      <c r="F5006">
        <v>7</v>
      </c>
      <c r="H5006" t="s">
        <v>5</v>
      </c>
      <c r="I5006" s="1">
        <v>33.93</v>
      </c>
      <c r="J5006" s="1">
        <v>33.93</v>
      </c>
      <c r="K5006" t="s">
        <v>6</v>
      </c>
    </row>
    <row r="5007" spans="1:11">
      <c r="A5007" t="s">
        <v>5098</v>
      </c>
      <c r="B5007">
        <v>391264</v>
      </c>
      <c r="C5007" s="2" t="str">
        <f>"1077BK"</f>
        <v>1077BK</v>
      </c>
      <c r="D5007" t="s">
        <v>5118</v>
      </c>
      <c r="E5007" t="s">
        <v>4</v>
      </c>
      <c r="F5007">
        <v>7</v>
      </c>
      <c r="H5007" t="s">
        <v>5</v>
      </c>
      <c r="I5007" s="1">
        <v>46.8</v>
      </c>
      <c r="J5007" s="1">
        <v>46.8</v>
      </c>
      <c r="K5007" t="s">
        <v>6</v>
      </c>
    </row>
    <row r="5008" spans="1:11">
      <c r="A5008" t="s">
        <v>5098</v>
      </c>
      <c r="B5008">
        <v>391125</v>
      </c>
      <c r="C5008" s="2" t="str">
        <f>"1077FG"</f>
        <v>1077FG</v>
      </c>
      <c r="D5008" t="s">
        <v>5119</v>
      </c>
      <c r="E5008" t="s">
        <v>4</v>
      </c>
      <c r="F5008">
        <v>7</v>
      </c>
      <c r="H5008" t="s">
        <v>5</v>
      </c>
      <c r="I5008" s="1">
        <v>46.8</v>
      </c>
      <c r="J5008" s="1">
        <v>46.8</v>
      </c>
      <c r="K5008" t="s">
        <v>6</v>
      </c>
    </row>
    <row r="5009" spans="1:12">
      <c r="A5009" t="s">
        <v>5098</v>
      </c>
      <c r="B5009">
        <v>388493</v>
      </c>
      <c r="C5009" s="2" t="str">
        <f>"1077R"</f>
        <v>1077R</v>
      </c>
      <c r="D5009" t="s">
        <v>5120</v>
      </c>
      <c r="E5009" t="s">
        <v>4</v>
      </c>
      <c r="F5009">
        <v>7</v>
      </c>
      <c r="H5009" t="s">
        <v>5</v>
      </c>
      <c r="I5009" s="1">
        <v>46.8</v>
      </c>
      <c r="J5009" s="1">
        <v>46.8</v>
      </c>
      <c r="K5009" t="s">
        <v>6</v>
      </c>
    </row>
    <row r="5010" spans="1:12">
      <c r="A5010" t="s">
        <v>5098</v>
      </c>
      <c r="B5010">
        <v>391350</v>
      </c>
      <c r="C5010" s="2" t="str">
        <f>"1079BK"</f>
        <v>1079BK</v>
      </c>
      <c r="D5010" t="s">
        <v>5121</v>
      </c>
      <c r="E5010" t="s">
        <v>4</v>
      </c>
      <c r="F5010">
        <v>8</v>
      </c>
      <c r="H5010" t="s">
        <v>5</v>
      </c>
      <c r="I5010" s="1">
        <v>51.48</v>
      </c>
      <c r="J5010" s="1">
        <v>51.48</v>
      </c>
      <c r="K5010" t="s">
        <v>6</v>
      </c>
    </row>
    <row r="5011" spans="1:12">
      <c r="A5011" t="s">
        <v>5098</v>
      </c>
      <c r="B5011">
        <v>395328</v>
      </c>
      <c r="C5011" s="2" t="str">
        <f>"1079FG"</f>
        <v>1079FG</v>
      </c>
      <c r="D5011" t="s">
        <v>5122</v>
      </c>
      <c r="E5011" t="s">
        <v>4</v>
      </c>
      <c r="F5011">
        <v>8</v>
      </c>
      <c r="H5011" t="s">
        <v>5</v>
      </c>
      <c r="I5011" s="1">
        <v>51.48</v>
      </c>
      <c r="J5011" s="1">
        <v>51.48</v>
      </c>
      <c r="K5011" t="s">
        <v>6</v>
      </c>
    </row>
    <row r="5012" spans="1:12">
      <c r="A5012" t="s">
        <v>5098</v>
      </c>
      <c r="B5012">
        <v>389134</v>
      </c>
      <c r="C5012" s="2" t="str">
        <f>"1079R"</f>
        <v>1079R</v>
      </c>
      <c r="D5012" t="s">
        <v>5123</v>
      </c>
      <c r="E5012" t="s">
        <v>4</v>
      </c>
      <c r="F5012">
        <v>8</v>
      </c>
      <c r="H5012" t="s">
        <v>5</v>
      </c>
      <c r="I5012" s="1">
        <v>51.48</v>
      </c>
      <c r="J5012" s="1">
        <v>51.48</v>
      </c>
      <c r="K5012" t="s">
        <v>6</v>
      </c>
    </row>
    <row r="5013" spans="1:12">
      <c r="A5013" t="s">
        <v>5098</v>
      </c>
      <c r="B5013">
        <v>380152</v>
      </c>
      <c r="C5013" s="2" t="str">
        <f>"1084BK"</f>
        <v>1084BK</v>
      </c>
      <c r="D5013" t="s">
        <v>5124</v>
      </c>
      <c r="E5013" t="s">
        <v>4</v>
      </c>
      <c r="F5013">
        <v>9</v>
      </c>
      <c r="H5013" t="s">
        <v>5</v>
      </c>
      <c r="I5013" s="1">
        <v>52.42</v>
      </c>
      <c r="J5013" s="1">
        <v>52.42</v>
      </c>
      <c r="K5013" t="s">
        <v>6</v>
      </c>
    </row>
    <row r="5014" spans="1:12">
      <c r="A5014" t="s">
        <v>5098</v>
      </c>
      <c r="B5014">
        <v>380154</v>
      </c>
      <c r="C5014" s="2" t="str">
        <f>"1084FG"</f>
        <v>1084FG</v>
      </c>
      <c r="D5014" t="s">
        <v>5125</v>
      </c>
      <c r="E5014" t="s">
        <v>4</v>
      </c>
      <c r="F5014">
        <v>9</v>
      </c>
      <c r="H5014" t="s">
        <v>5</v>
      </c>
      <c r="I5014" s="1">
        <v>52.42</v>
      </c>
      <c r="J5014" s="1">
        <v>52.42</v>
      </c>
      <c r="K5014" t="s">
        <v>6</v>
      </c>
    </row>
    <row r="5015" spans="1:12">
      <c r="A5015" t="s">
        <v>5098</v>
      </c>
      <c r="B5015">
        <v>380155</v>
      </c>
      <c r="C5015" s="2" t="str">
        <f>"1084R"</f>
        <v>1084R</v>
      </c>
      <c r="D5015" t="s">
        <v>5125</v>
      </c>
      <c r="E5015" t="s">
        <v>4</v>
      </c>
      <c r="F5015">
        <v>9</v>
      </c>
      <c r="H5015" t="s">
        <v>5</v>
      </c>
      <c r="I5015" s="1">
        <v>52.42</v>
      </c>
      <c r="J5015" s="1">
        <v>52.42</v>
      </c>
      <c r="K5015" t="s">
        <v>6</v>
      </c>
    </row>
    <row r="5016" spans="1:12">
      <c r="A5016" t="s">
        <v>5098</v>
      </c>
      <c r="B5016">
        <v>436509</v>
      </c>
      <c r="C5016" s="2" t="str">
        <f>"1086BK"</f>
        <v>1086BK</v>
      </c>
      <c r="D5016" t="s">
        <v>5126</v>
      </c>
      <c r="E5016" t="s">
        <v>4</v>
      </c>
      <c r="F5016">
        <v>9</v>
      </c>
      <c r="H5016" t="s">
        <v>5</v>
      </c>
      <c r="I5016" s="1">
        <v>52.65</v>
      </c>
      <c r="J5016" s="1">
        <v>52.65</v>
      </c>
      <c r="K5016" t="s">
        <v>6</v>
      </c>
    </row>
    <row r="5017" spans="1:12">
      <c r="A5017" t="s">
        <v>5098</v>
      </c>
      <c r="B5017">
        <v>432211</v>
      </c>
      <c r="C5017" s="2" t="str">
        <f>"1086FG"</f>
        <v>1086FG</v>
      </c>
      <c r="D5017" t="s">
        <v>5127</v>
      </c>
      <c r="E5017" t="s">
        <v>4</v>
      </c>
      <c r="F5017">
        <v>9</v>
      </c>
      <c r="H5017" t="s">
        <v>5</v>
      </c>
      <c r="I5017" s="1">
        <v>52.65</v>
      </c>
      <c r="J5017" s="1">
        <v>52.65</v>
      </c>
      <c r="K5017" t="s">
        <v>6</v>
      </c>
    </row>
    <row r="5018" spans="1:12">
      <c r="A5018" t="s">
        <v>5098</v>
      </c>
      <c r="B5018">
        <v>391563</v>
      </c>
      <c r="C5018" s="2" t="str">
        <f>"1086R"</f>
        <v>1086R</v>
      </c>
      <c r="D5018" t="s">
        <v>5128</v>
      </c>
      <c r="E5018" t="s">
        <v>4</v>
      </c>
      <c r="F5018">
        <v>9</v>
      </c>
      <c r="H5018" t="s">
        <v>5</v>
      </c>
      <c r="I5018" s="1">
        <v>52.65</v>
      </c>
      <c r="J5018" s="1">
        <v>52.65</v>
      </c>
      <c r="K5018" t="s">
        <v>6</v>
      </c>
    </row>
    <row r="5019" spans="1:12">
      <c r="A5019" t="s">
        <v>5098</v>
      </c>
      <c r="B5019">
        <v>380200</v>
      </c>
      <c r="C5019" s="2" t="str">
        <f>"108C-1"</f>
        <v>108C-1</v>
      </c>
      <c r="D5019" t="s">
        <v>5129</v>
      </c>
      <c r="E5019" t="s">
        <v>4</v>
      </c>
      <c r="F5019">
        <v>1.6</v>
      </c>
      <c r="H5019" t="s">
        <v>5</v>
      </c>
      <c r="I5019" s="1">
        <v>7.72</v>
      </c>
      <c r="J5019" s="1">
        <v>7.72</v>
      </c>
      <c r="K5019" t="s">
        <v>6</v>
      </c>
    </row>
    <row r="5020" spans="1:12">
      <c r="A5020" t="s">
        <v>5098</v>
      </c>
      <c r="B5020">
        <v>380201</v>
      </c>
      <c r="C5020" s="2" t="str">
        <f>"108K-1"</f>
        <v>108K-1</v>
      </c>
      <c r="D5020" t="s">
        <v>5130</v>
      </c>
      <c r="E5020" t="s">
        <v>4</v>
      </c>
      <c r="F5020">
        <v>1.6</v>
      </c>
      <c r="H5020" t="s">
        <v>5</v>
      </c>
      <c r="I5020" s="1">
        <v>7.72</v>
      </c>
      <c r="J5020" s="1">
        <v>7.72</v>
      </c>
      <c r="K5020" t="s">
        <v>6</v>
      </c>
    </row>
    <row r="5021" spans="1:12">
      <c r="A5021" t="s">
        <v>5098</v>
      </c>
      <c r="B5021">
        <v>380202</v>
      </c>
      <c r="C5021" s="2" t="str">
        <f>"108M-1"</f>
        <v>108M-1</v>
      </c>
      <c r="D5021" t="s">
        <v>5131</v>
      </c>
      <c r="E5021" t="s">
        <v>4</v>
      </c>
      <c r="F5021">
        <v>1.6</v>
      </c>
      <c r="H5021" t="s">
        <v>5</v>
      </c>
      <c r="I5021" s="1">
        <v>7.72</v>
      </c>
      <c r="J5021" s="1">
        <v>7.72</v>
      </c>
      <c r="K5021" t="s">
        <v>6</v>
      </c>
    </row>
    <row r="5022" spans="1:12">
      <c r="A5022" t="s">
        <v>5098</v>
      </c>
      <c r="B5022">
        <v>399873</v>
      </c>
      <c r="C5022" s="2" t="str">
        <f>"11"</f>
        <v>11</v>
      </c>
      <c r="D5022" t="s">
        <v>5132</v>
      </c>
      <c r="E5022" t="s">
        <v>4</v>
      </c>
      <c r="F5022">
        <v>1.92</v>
      </c>
      <c r="G5022">
        <v>0.16</v>
      </c>
      <c r="H5022" t="s">
        <v>106</v>
      </c>
      <c r="I5022" s="1">
        <v>2.15</v>
      </c>
      <c r="J5022" s="1">
        <v>2.15</v>
      </c>
      <c r="K5022" t="s">
        <v>457</v>
      </c>
      <c r="L5022" s="1">
        <v>2.36</v>
      </c>
    </row>
    <row r="5023" spans="1:12">
      <c r="A5023" t="s">
        <v>5098</v>
      </c>
      <c r="B5023">
        <v>380156</v>
      </c>
      <c r="C5023" s="2" t="str">
        <f>"1117W"</f>
        <v>1117W</v>
      </c>
      <c r="D5023" t="s">
        <v>5133</v>
      </c>
      <c r="E5023" t="s">
        <v>4</v>
      </c>
      <c r="F5023">
        <v>1.23</v>
      </c>
      <c r="H5023" t="s">
        <v>5</v>
      </c>
      <c r="I5023" s="1">
        <v>15.21</v>
      </c>
      <c r="J5023" s="1">
        <v>15.21</v>
      </c>
      <c r="K5023" t="s">
        <v>6</v>
      </c>
    </row>
    <row r="5024" spans="1:12">
      <c r="A5024" t="s">
        <v>5098</v>
      </c>
      <c r="B5024">
        <v>448611</v>
      </c>
      <c r="C5024" s="2" t="str">
        <f>"11253C"</f>
        <v>11253C</v>
      </c>
      <c r="D5024" t="s">
        <v>5134</v>
      </c>
      <c r="E5024" t="s">
        <v>4</v>
      </c>
      <c r="F5024">
        <v>6</v>
      </c>
      <c r="H5024" t="s">
        <v>5</v>
      </c>
      <c r="I5024" s="1">
        <v>29.95</v>
      </c>
      <c r="J5024" s="1">
        <v>29.95</v>
      </c>
      <c r="K5024" t="s">
        <v>6</v>
      </c>
    </row>
    <row r="5025" spans="1:12">
      <c r="A5025" t="s">
        <v>5098</v>
      </c>
      <c r="B5025">
        <v>380203</v>
      </c>
      <c r="C5025" s="2" t="str">
        <f>"112C-1"</f>
        <v>112C-1</v>
      </c>
      <c r="D5025" t="s">
        <v>5135</v>
      </c>
      <c r="E5025" t="s">
        <v>4</v>
      </c>
      <c r="F5025">
        <v>1.75</v>
      </c>
      <c r="H5025" t="s">
        <v>5</v>
      </c>
      <c r="I5025" s="1">
        <v>9.67</v>
      </c>
      <c r="J5025" s="1">
        <v>9.67</v>
      </c>
      <c r="K5025" t="s">
        <v>6</v>
      </c>
    </row>
    <row r="5026" spans="1:12">
      <c r="A5026" t="s">
        <v>5098</v>
      </c>
      <c r="B5026">
        <v>380204</v>
      </c>
      <c r="C5026" s="2" t="str">
        <f>"112K-1"</f>
        <v>112K-1</v>
      </c>
      <c r="D5026" t="s">
        <v>5136</v>
      </c>
      <c r="E5026" t="s">
        <v>4</v>
      </c>
      <c r="F5026">
        <v>1.75</v>
      </c>
      <c r="H5026" t="s">
        <v>5</v>
      </c>
      <c r="I5026" s="1">
        <v>9.67</v>
      </c>
      <c r="J5026" s="1">
        <v>9.67</v>
      </c>
      <c r="K5026" t="s">
        <v>6</v>
      </c>
    </row>
    <row r="5027" spans="1:12">
      <c r="A5027" t="s">
        <v>5098</v>
      </c>
      <c r="B5027">
        <v>380205</v>
      </c>
      <c r="C5027" s="2" t="str">
        <f>"112M-1"</f>
        <v>112M-1</v>
      </c>
      <c r="D5027" t="s">
        <v>5137</v>
      </c>
      <c r="E5027" t="s">
        <v>4</v>
      </c>
      <c r="F5027">
        <v>1.75</v>
      </c>
      <c r="H5027" t="s">
        <v>5</v>
      </c>
      <c r="I5027" s="1">
        <v>9.67</v>
      </c>
      <c r="J5027" s="1">
        <v>9.67</v>
      </c>
      <c r="K5027" t="s">
        <v>6</v>
      </c>
    </row>
    <row r="5028" spans="1:12">
      <c r="A5028" t="s">
        <v>5098</v>
      </c>
      <c r="B5028">
        <v>394246</v>
      </c>
      <c r="C5028" s="2" t="str">
        <f>"11663C"</f>
        <v>11663C</v>
      </c>
      <c r="D5028" t="s">
        <v>5138</v>
      </c>
      <c r="E5028" t="s">
        <v>4</v>
      </c>
      <c r="F5028">
        <v>5</v>
      </c>
      <c r="H5028" t="s">
        <v>5</v>
      </c>
      <c r="I5028" s="1">
        <v>25.27</v>
      </c>
      <c r="J5028" s="1">
        <v>25.27</v>
      </c>
      <c r="K5028" t="s">
        <v>6</v>
      </c>
    </row>
    <row r="5029" spans="1:12">
      <c r="A5029" t="s">
        <v>5098</v>
      </c>
      <c r="B5029">
        <v>380157</v>
      </c>
      <c r="C5029" s="2" t="str">
        <f>"1172W"</f>
        <v>1172W</v>
      </c>
      <c r="D5029" t="s">
        <v>5139</v>
      </c>
      <c r="E5029" t="s">
        <v>4</v>
      </c>
      <c r="F5029">
        <v>2.4300000000000002</v>
      </c>
      <c r="H5029" t="s">
        <v>5</v>
      </c>
      <c r="I5029" s="1">
        <v>18.100000000000001</v>
      </c>
      <c r="J5029" s="1">
        <v>18.100000000000001</v>
      </c>
      <c r="K5029" t="s">
        <v>6</v>
      </c>
    </row>
    <row r="5030" spans="1:12">
      <c r="A5030" t="s">
        <v>5098</v>
      </c>
      <c r="B5030">
        <v>380158</v>
      </c>
      <c r="C5030" s="2" t="str">
        <f>"1174W"</f>
        <v>1174W</v>
      </c>
      <c r="D5030" t="s">
        <v>5140</v>
      </c>
      <c r="E5030" t="s">
        <v>4</v>
      </c>
      <c r="F5030">
        <v>1.94</v>
      </c>
      <c r="H5030" t="s">
        <v>5</v>
      </c>
      <c r="I5030" s="1">
        <v>14.51</v>
      </c>
      <c r="J5030" s="1">
        <v>14.51</v>
      </c>
      <c r="K5030" t="s">
        <v>6</v>
      </c>
    </row>
    <row r="5031" spans="1:12">
      <c r="A5031" t="s">
        <v>5098</v>
      </c>
      <c r="B5031">
        <v>380159</v>
      </c>
      <c r="C5031" s="2" t="str">
        <f>"1175W"</f>
        <v>1175W</v>
      </c>
      <c r="D5031" t="s">
        <v>5141</v>
      </c>
      <c r="E5031" t="s">
        <v>4</v>
      </c>
      <c r="F5031">
        <v>2.2000000000000002</v>
      </c>
      <c r="H5031" t="s">
        <v>5</v>
      </c>
      <c r="I5031" s="1">
        <v>17</v>
      </c>
      <c r="J5031" s="1">
        <v>17</v>
      </c>
      <c r="K5031" t="s">
        <v>6</v>
      </c>
    </row>
    <row r="5032" spans="1:12">
      <c r="A5032" t="s">
        <v>5098</v>
      </c>
      <c r="B5032">
        <v>380160</v>
      </c>
      <c r="C5032" s="2" t="str">
        <f>"1176W"</f>
        <v>1176W</v>
      </c>
      <c r="D5032" t="s">
        <v>5142</v>
      </c>
      <c r="E5032" t="s">
        <v>4</v>
      </c>
      <c r="F5032">
        <v>2.62</v>
      </c>
      <c r="H5032" t="s">
        <v>5</v>
      </c>
      <c r="I5032" s="1">
        <v>19.03</v>
      </c>
      <c r="J5032" s="1">
        <v>19.03</v>
      </c>
      <c r="K5032" t="s">
        <v>6</v>
      </c>
    </row>
    <row r="5033" spans="1:12">
      <c r="A5033" t="s">
        <v>5098</v>
      </c>
      <c r="B5033">
        <v>407396</v>
      </c>
      <c r="C5033" s="2" t="str">
        <f>"1188W"</f>
        <v>1188W</v>
      </c>
      <c r="D5033" t="s">
        <v>5143</v>
      </c>
      <c r="E5033" t="s">
        <v>4</v>
      </c>
      <c r="F5033">
        <v>3.38</v>
      </c>
      <c r="H5033" t="s">
        <v>5</v>
      </c>
      <c r="I5033" s="1">
        <v>22.15</v>
      </c>
      <c r="J5033" s="1">
        <v>22.15</v>
      </c>
      <c r="K5033" t="s">
        <v>6</v>
      </c>
    </row>
    <row r="5034" spans="1:12">
      <c r="A5034" t="s">
        <v>5098</v>
      </c>
      <c r="B5034">
        <v>465333</v>
      </c>
      <c r="C5034" s="2" t="str">
        <f>"1189W"</f>
        <v>1189W</v>
      </c>
      <c r="D5034" t="s">
        <v>5144</v>
      </c>
      <c r="E5034" t="s">
        <v>4</v>
      </c>
      <c r="F5034">
        <v>4.13</v>
      </c>
      <c r="H5034" t="s">
        <v>5</v>
      </c>
      <c r="I5034" s="1">
        <v>23.56</v>
      </c>
      <c r="J5034" s="1">
        <v>23.56</v>
      </c>
      <c r="K5034" t="s">
        <v>6</v>
      </c>
    </row>
    <row r="5035" spans="1:12">
      <c r="A5035" t="s">
        <v>5098</v>
      </c>
      <c r="B5035">
        <v>380470</v>
      </c>
      <c r="C5035" s="2" t="str">
        <f>"1225"</f>
        <v>1225</v>
      </c>
      <c r="D5035" t="s">
        <v>5145</v>
      </c>
      <c r="E5035" t="s">
        <v>4</v>
      </c>
      <c r="F5035">
        <v>14.4</v>
      </c>
      <c r="G5035">
        <v>0.6</v>
      </c>
      <c r="H5035" t="s">
        <v>666</v>
      </c>
      <c r="I5035" s="1">
        <v>3.95</v>
      </c>
      <c r="J5035" s="1">
        <v>3.95</v>
      </c>
      <c r="K5035" t="s">
        <v>457</v>
      </c>
      <c r="L5035" s="1">
        <v>4.3499999999999996</v>
      </c>
    </row>
    <row r="5036" spans="1:12">
      <c r="A5036" t="s">
        <v>5098</v>
      </c>
      <c r="B5036">
        <v>425193</v>
      </c>
      <c r="C5036" s="2" t="str">
        <f>"1226"</f>
        <v>1226</v>
      </c>
      <c r="D5036" t="s">
        <v>5146</v>
      </c>
      <c r="E5036" t="s">
        <v>4</v>
      </c>
      <c r="F5036">
        <v>4.08</v>
      </c>
      <c r="G5036">
        <v>0.17</v>
      </c>
      <c r="H5036" t="s">
        <v>666</v>
      </c>
      <c r="I5036" s="1">
        <v>1.61</v>
      </c>
      <c r="J5036" s="1">
        <v>1.61</v>
      </c>
      <c r="K5036" t="s">
        <v>457</v>
      </c>
      <c r="L5036" s="1">
        <v>1.77</v>
      </c>
    </row>
    <row r="5037" spans="1:12">
      <c r="A5037" t="s">
        <v>5098</v>
      </c>
      <c r="B5037">
        <v>476697</v>
      </c>
      <c r="C5037" s="2" t="str">
        <f>"1240"</f>
        <v>1240</v>
      </c>
      <c r="D5037" t="s">
        <v>5147</v>
      </c>
      <c r="E5037" t="s">
        <v>4</v>
      </c>
      <c r="F5037">
        <v>2.8</v>
      </c>
      <c r="G5037">
        <v>1.4</v>
      </c>
      <c r="H5037" t="s">
        <v>175</v>
      </c>
      <c r="I5037" s="1">
        <v>12.32</v>
      </c>
      <c r="J5037" s="1">
        <v>12.32</v>
      </c>
      <c r="K5037" t="s">
        <v>21</v>
      </c>
      <c r="L5037" s="1">
        <v>13.56</v>
      </c>
    </row>
    <row r="5038" spans="1:12">
      <c r="A5038" t="s">
        <v>5098</v>
      </c>
      <c r="B5038">
        <v>394249</v>
      </c>
      <c r="C5038" s="2" t="str">
        <f>"12463C"</f>
        <v>12463C</v>
      </c>
      <c r="D5038" t="s">
        <v>5148</v>
      </c>
      <c r="E5038" t="s">
        <v>4</v>
      </c>
      <c r="F5038">
        <v>2.5</v>
      </c>
      <c r="H5038" t="s">
        <v>5</v>
      </c>
      <c r="I5038" s="1">
        <v>14.59</v>
      </c>
      <c r="J5038" s="1">
        <v>14.59</v>
      </c>
      <c r="K5038" t="s">
        <v>6</v>
      </c>
    </row>
    <row r="5039" spans="1:12">
      <c r="A5039" t="s">
        <v>5098</v>
      </c>
      <c r="B5039">
        <v>380206</v>
      </c>
      <c r="C5039" s="2" t="str">
        <f>"124C-1"</f>
        <v>124C-1</v>
      </c>
      <c r="D5039" t="s">
        <v>5149</v>
      </c>
      <c r="E5039" t="s">
        <v>4</v>
      </c>
      <c r="F5039">
        <v>3</v>
      </c>
      <c r="H5039" t="s">
        <v>5</v>
      </c>
      <c r="I5039" s="1">
        <v>12.71</v>
      </c>
      <c r="J5039" s="1">
        <v>12.71</v>
      </c>
      <c r="K5039" t="s">
        <v>6</v>
      </c>
    </row>
    <row r="5040" spans="1:12">
      <c r="A5040" t="s">
        <v>5098</v>
      </c>
      <c r="B5040">
        <v>380185</v>
      </c>
      <c r="C5040" s="2" t="str">
        <f>"1270"</f>
        <v>1270</v>
      </c>
      <c r="D5040" t="s">
        <v>5150</v>
      </c>
      <c r="E5040" t="s">
        <v>4</v>
      </c>
      <c r="F5040">
        <v>6</v>
      </c>
      <c r="H5040" t="s">
        <v>5</v>
      </c>
      <c r="I5040" s="1">
        <v>44.77</v>
      </c>
      <c r="J5040" s="1">
        <v>44.77</v>
      </c>
      <c r="K5040" t="s">
        <v>6</v>
      </c>
    </row>
    <row r="5041" spans="1:12">
      <c r="A5041" t="s">
        <v>5098</v>
      </c>
      <c r="B5041">
        <v>380164</v>
      </c>
      <c r="C5041" s="2" t="str">
        <f>"132S&amp;P-2"</f>
        <v>132S&amp;P-2</v>
      </c>
      <c r="D5041" t="s">
        <v>5151</v>
      </c>
      <c r="E5041" t="s">
        <v>4</v>
      </c>
      <c r="F5041">
        <v>3.5</v>
      </c>
      <c r="H5041" t="s">
        <v>5</v>
      </c>
      <c r="I5041" s="1">
        <v>23.09</v>
      </c>
      <c r="J5041" s="1">
        <v>23.09</v>
      </c>
      <c r="K5041" t="s">
        <v>6</v>
      </c>
    </row>
    <row r="5042" spans="1:12">
      <c r="A5042" t="s">
        <v>5098</v>
      </c>
      <c r="B5042">
        <v>380190</v>
      </c>
      <c r="C5042" s="2" t="str">
        <f>"1370"</f>
        <v>1370</v>
      </c>
      <c r="D5042" t="s">
        <v>5152</v>
      </c>
      <c r="E5042" t="s">
        <v>4</v>
      </c>
      <c r="F5042">
        <v>7</v>
      </c>
      <c r="H5042" t="s">
        <v>5</v>
      </c>
      <c r="I5042" s="1">
        <v>69.97</v>
      </c>
      <c r="J5042" s="1">
        <v>69.97</v>
      </c>
      <c r="K5042" t="s">
        <v>6</v>
      </c>
    </row>
    <row r="5043" spans="1:12">
      <c r="A5043" t="s">
        <v>5098</v>
      </c>
      <c r="B5043">
        <v>380191</v>
      </c>
      <c r="C5043" s="2" t="str">
        <f>"1370R"</f>
        <v>1370R</v>
      </c>
      <c r="D5043" t="s">
        <v>5153</v>
      </c>
      <c r="E5043" t="s">
        <v>4</v>
      </c>
      <c r="F5043">
        <v>5</v>
      </c>
      <c r="H5043" t="s">
        <v>5</v>
      </c>
      <c r="I5043" s="1">
        <v>59.28</v>
      </c>
      <c r="J5043" s="1">
        <v>59.28</v>
      </c>
      <c r="K5043" t="s">
        <v>6</v>
      </c>
    </row>
    <row r="5044" spans="1:12">
      <c r="A5044" t="s">
        <v>5098</v>
      </c>
      <c r="B5044">
        <v>431961</v>
      </c>
      <c r="C5044" s="2" t="str">
        <f>"144GRT"</f>
        <v>144GRT</v>
      </c>
      <c r="D5044" t="s">
        <v>5154</v>
      </c>
      <c r="E5044" t="s">
        <v>4</v>
      </c>
      <c r="F5044">
        <v>10</v>
      </c>
      <c r="H5044" t="s">
        <v>5</v>
      </c>
      <c r="I5044" s="1">
        <v>59.59</v>
      </c>
      <c r="J5044" s="1">
        <v>59.59</v>
      </c>
      <c r="K5044" t="s">
        <v>6</v>
      </c>
    </row>
    <row r="5045" spans="1:12">
      <c r="A5045" t="s">
        <v>5098</v>
      </c>
      <c r="B5045">
        <v>414732</v>
      </c>
      <c r="C5045" s="2" t="str">
        <f>"1472"</f>
        <v>1472</v>
      </c>
      <c r="D5045" t="s">
        <v>5155</v>
      </c>
      <c r="E5045" t="s">
        <v>4</v>
      </c>
      <c r="F5045">
        <v>2.5</v>
      </c>
      <c r="H5045" t="s">
        <v>5</v>
      </c>
      <c r="I5045" s="1">
        <v>18.100000000000001</v>
      </c>
      <c r="J5045" s="1">
        <v>18.100000000000001</v>
      </c>
      <c r="K5045" t="s">
        <v>6</v>
      </c>
    </row>
    <row r="5046" spans="1:12">
      <c r="A5046" t="s">
        <v>5098</v>
      </c>
      <c r="B5046">
        <v>380463</v>
      </c>
      <c r="C5046" s="2" t="str">
        <f>"15"</f>
        <v>15</v>
      </c>
      <c r="D5046" t="s">
        <v>5156</v>
      </c>
      <c r="E5046" t="s">
        <v>4</v>
      </c>
      <c r="F5046">
        <v>5.76</v>
      </c>
      <c r="G5046">
        <v>0.96</v>
      </c>
      <c r="H5046" t="s">
        <v>20</v>
      </c>
      <c r="I5046" s="1">
        <v>22.37</v>
      </c>
      <c r="J5046" s="1">
        <v>22.37</v>
      </c>
      <c r="K5046" t="s">
        <v>457</v>
      </c>
      <c r="L5046" s="1">
        <v>24.61</v>
      </c>
    </row>
    <row r="5047" spans="1:12">
      <c r="A5047" t="s">
        <v>5098</v>
      </c>
      <c r="B5047">
        <v>380165</v>
      </c>
      <c r="C5047" s="2" t="str">
        <f>"150S&amp;P-2"</f>
        <v>150S&amp;P-2</v>
      </c>
      <c r="D5047" t="s">
        <v>5157</v>
      </c>
      <c r="E5047" t="s">
        <v>4</v>
      </c>
      <c r="F5047">
        <v>1.78</v>
      </c>
      <c r="H5047" t="s">
        <v>5</v>
      </c>
      <c r="I5047" s="1">
        <v>14.66</v>
      </c>
      <c r="J5047" s="1">
        <v>14.66</v>
      </c>
      <c r="K5047" t="s">
        <v>6</v>
      </c>
    </row>
    <row r="5048" spans="1:12">
      <c r="A5048" t="s">
        <v>5098</v>
      </c>
      <c r="B5048">
        <v>538145</v>
      </c>
      <c r="C5048" s="2" t="str">
        <f>"1524B"</f>
        <v>1524B</v>
      </c>
      <c r="D5048" t="s">
        <v>5158</v>
      </c>
      <c r="E5048" t="s">
        <v>4</v>
      </c>
      <c r="F5048">
        <v>21</v>
      </c>
      <c r="G5048">
        <v>1.75</v>
      </c>
      <c r="H5048" t="s">
        <v>106</v>
      </c>
      <c r="I5048" s="1">
        <v>6.29</v>
      </c>
      <c r="J5048" s="1">
        <v>6.29</v>
      </c>
      <c r="K5048" t="s">
        <v>21</v>
      </c>
      <c r="L5048" s="1">
        <v>6.92</v>
      </c>
    </row>
    <row r="5049" spans="1:12">
      <c r="A5049" t="s">
        <v>5098</v>
      </c>
      <c r="B5049">
        <v>491308</v>
      </c>
      <c r="C5049" s="2" t="str">
        <f>"1524G"</f>
        <v>1524G</v>
      </c>
      <c r="D5049" t="s">
        <v>5158</v>
      </c>
      <c r="E5049" t="s">
        <v>4</v>
      </c>
      <c r="F5049">
        <v>21</v>
      </c>
      <c r="G5049">
        <v>1.75</v>
      </c>
      <c r="H5049" t="s">
        <v>106</v>
      </c>
      <c r="I5049" s="1">
        <v>6.29</v>
      </c>
      <c r="J5049" s="1">
        <v>6.29</v>
      </c>
      <c r="K5049" t="s">
        <v>21</v>
      </c>
      <c r="L5049" s="1">
        <v>6.92</v>
      </c>
    </row>
    <row r="5050" spans="1:12">
      <c r="A5050" t="s">
        <v>5098</v>
      </c>
      <c r="B5050">
        <v>417262</v>
      </c>
      <c r="C5050" s="2" t="str">
        <f>"1527G"</f>
        <v>1527G</v>
      </c>
      <c r="D5050" t="s">
        <v>5159</v>
      </c>
      <c r="E5050" t="s">
        <v>4</v>
      </c>
      <c r="F5050">
        <v>29</v>
      </c>
      <c r="H5050" t="s">
        <v>5</v>
      </c>
      <c r="I5050" s="1">
        <v>106.39</v>
      </c>
      <c r="J5050" s="1">
        <v>106.39</v>
      </c>
      <c r="K5050" t="s">
        <v>6</v>
      </c>
    </row>
    <row r="5051" spans="1:12">
      <c r="A5051" t="s">
        <v>5098</v>
      </c>
      <c r="B5051">
        <v>380224</v>
      </c>
      <c r="C5051" s="2" t="str">
        <f>"1529B"</f>
        <v>1529B</v>
      </c>
      <c r="D5051" t="s">
        <v>5160</v>
      </c>
      <c r="E5051" t="s">
        <v>4</v>
      </c>
      <c r="F5051">
        <v>24</v>
      </c>
      <c r="H5051" t="s">
        <v>5</v>
      </c>
      <c r="I5051" s="1">
        <v>71.599999999999994</v>
      </c>
      <c r="J5051" s="1">
        <v>71.599999999999994</v>
      </c>
      <c r="K5051" t="s">
        <v>6</v>
      </c>
    </row>
    <row r="5052" spans="1:12">
      <c r="A5052" t="s">
        <v>5098</v>
      </c>
      <c r="B5052">
        <v>380226</v>
      </c>
      <c r="C5052" s="2" t="str">
        <f>"1529G"</f>
        <v>1529G</v>
      </c>
      <c r="D5052" t="s">
        <v>5161</v>
      </c>
      <c r="E5052" t="s">
        <v>4</v>
      </c>
      <c r="F5052">
        <v>24</v>
      </c>
      <c r="H5052" t="s">
        <v>5</v>
      </c>
      <c r="I5052" s="1">
        <v>71.599999999999994</v>
      </c>
      <c r="J5052" s="1">
        <v>71.599999999999994</v>
      </c>
      <c r="K5052" t="s">
        <v>6</v>
      </c>
    </row>
    <row r="5053" spans="1:12">
      <c r="A5053" t="s">
        <v>5098</v>
      </c>
      <c r="B5053">
        <v>380227</v>
      </c>
      <c r="C5053" s="2" t="str">
        <f>"1529W"</f>
        <v>1529W</v>
      </c>
      <c r="D5053" t="s">
        <v>5162</v>
      </c>
      <c r="E5053" t="s">
        <v>4</v>
      </c>
      <c r="F5053">
        <v>24</v>
      </c>
      <c r="H5053" t="s">
        <v>5</v>
      </c>
      <c r="I5053" s="1">
        <v>71.599999999999994</v>
      </c>
      <c r="J5053" s="1">
        <v>71.599999999999994</v>
      </c>
      <c r="K5053" t="s">
        <v>6</v>
      </c>
    </row>
    <row r="5054" spans="1:12">
      <c r="A5054" t="s">
        <v>5098</v>
      </c>
      <c r="B5054">
        <v>399872</v>
      </c>
      <c r="C5054" s="2" t="str">
        <f>"1531B"</f>
        <v>1531B</v>
      </c>
      <c r="D5054" t="s">
        <v>5163</v>
      </c>
      <c r="E5054" t="s">
        <v>4</v>
      </c>
      <c r="F5054">
        <v>15.96</v>
      </c>
      <c r="G5054">
        <v>1.33</v>
      </c>
      <c r="H5054" t="s">
        <v>106</v>
      </c>
      <c r="I5054" s="1">
        <v>5.2</v>
      </c>
      <c r="J5054" s="1">
        <v>5.2</v>
      </c>
      <c r="K5054" t="s">
        <v>457</v>
      </c>
      <c r="L5054" s="1">
        <v>5.72</v>
      </c>
    </row>
    <row r="5055" spans="1:12">
      <c r="A5055" t="s">
        <v>5098</v>
      </c>
      <c r="B5055">
        <v>399871</v>
      </c>
      <c r="C5055" s="2" t="str">
        <f>"1531G"</f>
        <v>1531G</v>
      </c>
      <c r="D5055" t="s">
        <v>5164</v>
      </c>
      <c r="E5055" t="s">
        <v>4</v>
      </c>
      <c r="F5055">
        <v>15.96</v>
      </c>
      <c r="G5055">
        <v>1.33</v>
      </c>
      <c r="H5055" t="s">
        <v>106</v>
      </c>
      <c r="I5055" s="1">
        <v>5.2</v>
      </c>
      <c r="J5055" s="1">
        <v>5.2</v>
      </c>
      <c r="K5055" t="s">
        <v>457</v>
      </c>
      <c r="L5055" s="1">
        <v>5.72</v>
      </c>
    </row>
    <row r="5056" spans="1:12">
      <c r="A5056" t="s">
        <v>5098</v>
      </c>
      <c r="B5056">
        <v>390201</v>
      </c>
      <c r="C5056" s="2" t="str">
        <f>"1531W"</f>
        <v>1531W</v>
      </c>
      <c r="D5056" t="s">
        <v>5165</v>
      </c>
      <c r="E5056" t="s">
        <v>4</v>
      </c>
      <c r="F5056">
        <v>16</v>
      </c>
      <c r="H5056" t="s">
        <v>5</v>
      </c>
      <c r="I5056" s="1">
        <v>62.4</v>
      </c>
      <c r="J5056" s="1">
        <v>62.4</v>
      </c>
      <c r="K5056" t="s">
        <v>6</v>
      </c>
    </row>
    <row r="5057" spans="1:12">
      <c r="A5057" t="s">
        <v>5098</v>
      </c>
      <c r="B5057">
        <v>380228</v>
      </c>
      <c r="C5057" s="2" t="str">
        <f>"1537B"</f>
        <v>1537B</v>
      </c>
      <c r="D5057" t="s">
        <v>5166</v>
      </c>
      <c r="E5057" t="s">
        <v>4</v>
      </c>
      <c r="F5057">
        <v>28</v>
      </c>
      <c r="H5057" t="s">
        <v>5</v>
      </c>
      <c r="I5057" s="1">
        <v>83.93</v>
      </c>
      <c r="J5057" s="1">
        <v>83.93</v>
      </c>
      <c r="K5057" t="s">
        <v>6</v>
      </c>
    </row>
    <row r="5058" spans="1:12">
      <c r="A5058" t="s">
        <v>5098</v>
      </c>
      <c r="B5058">
        <v>380229</v>
      </c>
      <c r="C5058" s="2" t="str">
        <f>"1537BR"</f>
        <v>1537BR</v>
      </c>
      <c r="D5058" t="s">
        <v>5166</v>
      </c>
      <c r="E5058" t="s">
        <v>4</v>
      </c>
      <c r="F5058">
        <v>28</v>
      </c>
      <c r="H5058" t="s">
        <v>5</v>
      </c>
      <c r="I5058" s="1">
        <v>83.93</v>
      </c>
      <c r="J5058" s="1">
        <v>83.93</v>
      </c>
      <c r="K5058" t="s">
        <v>6</v>
      </c>
    </row>
    <row r="5059" spans="1:12">
      <c r="A5059" t="s">
        <v>5098</v>
      </c>
      <c r="B5059">
        <v>380230</v>
      </c>
      <c r="C5059" s="2" t="str">
        <f>"1537G"</f>
        <v>1537G</v>
      </c>
      <c r="D5059" t="s">
        <v>5167</v>
      </c>
      <c r="E5059" t="s">
        <v>4</v>
      </c>
      <c r="F5059">
        <v>28</v>
      </c>
      <c r="H5059" t="s">
        <v>5</v>
      </c>
      <c r="I5059" s="1">
        <v>83.93</v>
      </c>
      <c r="J5059" s="1">
        <v>83.93</v>
      </c>
      <c r="K5059" t="s">
        <v>6</v>
      </c>
    </row>
    <row r="5060" spans="1:12">
      <c r="A5060" t="s">
        <v>5098</v>
      </c>
      <c r="B5060">
        <v>380231</v>
      </c>
      <c r="C5060" s="2" t="str">
        <f>"1537W"</f>
        <v>1537W</v>
      </c>
      <c r="D5060" t="s">
        <v>5168</v>
      </c>
      <c r="E5060" t="s">
        <v>4</v>
      </c>
      <c r="F5060">
        <v>28</v>
      </c>
      <c r="H5060" t="s">
        <v>5</v>
      </c>
      <c r="I5060" s="1">
        <v>83.93</v>
      </c>
      <c r="J5060" s="1">
        <v>83.93</v>
      </c>
      <c r="K5060" t="s">
        <v>6</v>
      </c>
    </row>
    <row r="5061" spans="1:12">
      <c r="A5061" t="s">
        <v>5098</v>
      </c>
      <c r="B5061">
        <v>388045</v>
      </c>
      <c r="C5061" s="2" t="str">
        <f>"1547G"</f>
        <v>1547G</v>
      </c>
      <c r="D5061" t="s">
        <v>5169</v>
      </c>
      <c r="E5061" t="s">
        <v>4</v>
      </c>
      <c r="F5061">
        <v>20</v>
      </c>
      <c r="H5061" t="s">
        <v>5</v>
      </c>
      <c r="I5061" s="1">
        <v>68.25</v>
      </c>
      <c r="J5061" s="1">
        <v>68.25</v>
      </c>
      <c r="K5061" t="s">
        <v>6</v>
      </c>
    </row>
    <row r="5062" spans="1:12">
      <c r="A5062" t="s">
        <v>5098</v>
      </c>
      <c r="B5062">
        <v>380166</v>
      </c>
      <c r="C5062" s="2" t="str">
        <f>"154S&amp;P-2"</f>
        <v>154S&amp;P-2</v>
      </c>
      <c r="D5062" t="s">
        <v>5170</v>
      </c>
      <c r="E5062" t="s">
        <v>4</v>
      </c>
      <c r="F5062">
        <v>7.46</v>
      </c>
      <c r="H5062" t="s">
        <v>5</v>
      </c>
      <c r="I5062" s="1">
        <v>24.02</v>
      </c>
      <c r="J5062" s="1">
        <v>24.02</v>
      </c>
      <c r="K5062" t="s">
        <v>6</v>
      </c>
    </row>
    <row r="5063" spans="1:12">
      <c r="A5063" t="s">
        <v>5098</v>
      </c>
      <c r="B5063">
        <v>470259</v>
      </c>
      <c r="C5063" s="2" t="str">
        <f>"154T"</f>
        <v>154T</v>
      </c>
      <c r="D5063" t="s">
        <v>5171</v>
      </c>
      <c r="E5063" t="s">
        <v>4</v>
      </c>
      <c r="F5063">
        <v>1</v>
      </c>
      <c r="H5063" t="s">
        <v>5</v>
      </c>
      <c r="I5063" s="1">
        <v>15.68</v>
      </c>
      <c r="J5063" s="1">
        <v>15.68</v>
      </c>
      <c r="K5063" t="s">
        <v>6</v>
      </c>
    </row>
    <row r="5064" spans="1:12">
      <c r="A5064" t="s">
        <v>5098</v>
      </c>
      <c r="B5064">
        <v>380167</v>
      </c>
      <c r="C5064" s="2" t="str">
        <f>"155S&amp;P-2"</f>
        <v>155S&amp;P-2</v>
      </c>
      <c r="D5064" t="s">
        <v>5172</v>
      </c>
      <c r="E5064" t="s">
        <v>4</v>
      </c>
      <c r="F5064">
        <v>5</v>
      </c>
      <c r="H5064" t="s">
        <v>5</v>
      </c>
      <c r="I5064" s="1">
        <v>16.38</v>
      </c>
      <c r="J5064" s="1">
        <v>16.38</v>
      </c>
      <c r="K5064" t="s">
        <v>6</v>
      </c>
    </row>
    <row r="5065" spans="1:12">
      <c r="A5065" t="s">
        <v>5098</v>
      </c>
      <c r="B5065">
        <v>380168</v>
      </c>
      <c r="C5065" s="2" t="str">
        <f>"156S&amp;P-2"</f>
        <v>156S&amp;P-2</v>
      </c>
      <c r="D5065" t="s">
        <v>5173</v>
      </c>
      <c r="E5065" t="s">
        <v>4</v>
      </c>
      <c r="F5065">
        <v>9.1</v>
      </c>
      <c r="H5065" t="s">
        <v>5</v>
      </c>
      <c r="I5065" s="1">
        <v>25.58</v>
      </c>
      <c r="J5065" s="1">
        <v>25.58</v>
      </c>
      <c r="K5065" t="s">
        <v>6</v>
      </c>
    </row>
    <row r="5066" spans="1:12">
      <c r="A5066" t="s">
        <v>5098</v>
      </c>
      <c r="B5066">
        <v>380454</v>
      </c>
      <c r="C5066" s="2" t="str">
        <f>"1610"</f>
        <v>1610</v>
      </c>
      <c r="D5066" t="s">
        <v>5174</v>
      </c>
      <c r="E5066" t="s">
        <v>4</v>
      </c>
      <c r="F5066">
        <v>19.8</v>
      </c>
      <c r="G5066">
        <v>1.65</v>
      </c>
      <c r="H5066" t="s">
        <v>106</v>
      </c>
      <c r="I5066" s="1">
        <v>22.71</v>
      </c>
      <c r="J5066" s="1">
        <v>22.71</v>
      </c>
      <c r="K5066" t="s">
        <v>457</v>
      </c>
      <c r="L5066" s="1">
        <v>24.98</v>
      </c>
    </row>
    <row r="5067" spans="1:12">
      <c r="A5067" t="s">
        <v>5098</v>
      </c>
      <c r="B5067">
        <v>480535</v>
      </c>
      <c r="C5067" s="2" t="str">
        <f>"163MPBK"</f>
        <v>163MPBK</v>
      </c>
      <c r="D5067" t="s">
        <v>5175</v>
      </c>
      <c r="E5067" t="s">
        <v>4</v>
      </c>
      <c r="F5067">
        <v>5.33</v>
      </c>
      <c r="H5067" t="s">
        <v>5</v>
      </c>
      <c r="I5067" s="1">
        <v>34.79</v>
      </c>
      <c r="J5067" s="1">
        <v>34.79</v>
      </c>
      <c r="K5067" t="s">
        <v>6</v>
      </c>
    </row>
    <row r="5068" spans="1:12">
      <c r="A5068" t="s">
        <v>5098</v>
      </c>
      <c r="B5068">
        <v>480537</v>
      </c>
      <c r="C5068" s="2" t="str">
        <f>"163MPW"</f>
        <v>163MPW</v>
      </c>
      <c r="D5068" t="s">
        <v>5176</v>
      </c>
      <c r="E5068" t="s">
        <v>4</v>
      </c>
      <c r="F5068">
        <v>5.33</v>
      </c>
      <c r="H5068" t="s">
        <v>5</v>
      </c>
      <c r="I5068" s="1">
        <v>34.79</v>
      </c>
      <c r="J5068" s="1">
        <v>34.79</v>
      </c>
      <c r="K5068" t="s">
        <v>6</v>
      </c>
    </row>
    <row r="5069" spans="1:12">
      <c r="A5069" t="s">
        <v>5098</v>
      </c>
      <c r="B5069">
        <v>380172</v>
      </c>
      <c r="C5069" s="2" t="str">
        <f>"163S&amp;P-2"</f>
        <v>163S&amp;P-2</v>
      </c>
      <c r="D5069" t="s">
        <v>5177</v>
      </c>
      <c r="E5069" t="s">
        <v>4</v>
      </c>
      <c r="F5069">
        <v>5.75</v>
      </c>
      <c r="H5069" t="s">
        <v>5</v>
      </c>
      <c r="I5069" s="1">
        <v>22.46</v>
      </c>
      <c r="J5069" s="1">
        <v>22.46</v>
      </c>
      <c r="K5069" t="s">
        <v>6</v>
      </c>
    </row>
    <row r="5070" spans="1:12">
      <c r="A5070" t="s">
        <v>5098</v>
      </c>
      <c r="B5070">
        <v>397415</v>
      </c>
      <c r="C5070" s="2" t="str">
        <f>"166F"</f>
        <v>166F</v>
      </c>
      <c r="D5070" t="s">
        <v>5178</v>
      </c>
      <c r="E5070" t="s">
        <v>4</v>
      </c>
      <c r="F5070">
        <v>3.96</v>
      </c>
      <c r="G5070">
        <v>0.33</v>
      </c>
      <c r="H5070" t="s">
        <v>106</v>
      </c>
      <c r="I5070" s="1">
        <v>3.71</v>
      </c>
      <c r="J5070" s="1">
        <v>3.71</v>
      </c>
      <c r="K5070" t="s">
        <v>457</v>
      </c>
      <c r="L5070" s="1">
        <v>4.08</v>
      </c>
    </row>
    <row r="5071" spans="1:12">
      <c r="A5071" t="s">
        <v>5098</v>
      </c>
      <c r="B5071">
        <v>399875</v>
      </c>
      <c r="C5071" s="2" t="str">
        <f>"171"</f>
        <v>171</v>
      </c>
      <c r="D5071" t="s">
        <v>5179</v>
      </c>
      <c r="E5071" t="s">
        <v>4</v>
      </c>
      <c r="F5071">
        <v>6.84</v>
      </c>
      <c r="G5071">
        <v>0.56999999999999995</v>
      </c>
      <c r="H5071" t="s">
        <v>106</v>
      </c>
      <c r="I5071" s="1">
        <v>3.38</v>
      </c>
      <c r="J5071" s="1">
        <v>3.32</v>
      </c>
      <c r="K5071" t="s">
        <v>21</v>
      </c>
      <c r="L5071" s="1">
        <v>3.65</v>
      </c>
    </row>
    <row r="5072" spans="1:12">
      <c r="A5072" t="s">
        <v>5098</v>
      </c>
      <c r="B5072">
        <v>454346</v>
      </c>
      <c r="C5072" s="2" t="str">
        <f>"1710"</f>
        <v>1710</v>
      </c>
      <c r="D5072" t="s">
        <v>5180</v>
      </c>
      <c r="E5072" t="s">
        <v>4</v>
      </c>
      <c r="F5072">
        <v>19.8</v>
      </c>
      <c r="G5072">
        <v>1.65</v>
      </c>
      <c r="H5072" t="s">
        <v>106</v>
      </c>
      <c r="I5072" s="1">
        <v>22.72</v>
      </c>
      <c r="J5072" s="1">
        <v>22.72</v>
      </c>
      <c r="K5072" t="s">
        <v>457</v>
      </c>
      <c r="L5072" s="1">
        <v>25</v>
      </c>
    </row>
    <row r="5073" spans="1:12">
      <c r="A5073" t="s">
        <v>5098</v>
      </c>
      <c r="B5073">
        <v>399874</v>
      </c>
      <c r="C5073" s="2" t="str">
        <f>"172"</f>
        <v>172</v>
      </c>
      <c r="D5073" t="s">
        <v>5181</v>
      </c>
      <c r="E5073" t="s">
        <v>4</v>
      </c>
      <c r="F5073">
        <v>1.44</v>
      </c>
      <c r="G5073">
        <v>0.12</v>
      </c>
      <c r="H5073" t="s">
        <v>106</v>
      </c>
      <c r="I5073" s="1">
        <v>1.57</v>
      </c>
      <c r="J5073" s="1">
        <v>1.57</v>
      </c>
      <c r="K5073" t="s">
        <v>457</v>
      </c>
      <c r="L5073" s="1">
        <v>1.73</v>
      </c>
    </row>
    <row r="5074" spans="1:12">
      <c r="A5074" t="s">
        <v>5098</v>
      </c>
      <c r="B5074">
        <v>423845</v>
      </c>
      <c r="C5074" s="2" t="str">
        <f>"174"</f>
        <v>174</v>
      </c>
      <c r="D5074" t="s">
        <v>5182</v>
      </c>
      <c r="E5074" t="s">
        <v>4</v>
      </c>
      <c r="F5074">
        <v>0.41</v>
      </c>
      <c r="H5074" t="s">
        <v>5</v>
      </c>
      <c r="I5074" s="1">
        <v>11.93</v>
      </c>
      <c r="J5074" s="1">
        <v>11.93</v>
      </c>
      <c r="K5074" t="s">
        <v>6</v>
      </c>
    </row>
    <row r="5075" spans="1:12">
      <c r="A5075" t="s">
        <v>5098</v>
      </c>
      <c r="B5075">
        <v>397470</v>
      </c>
      <c r="C5075" s="2" t="str">
        <f>"177"</f>
        <v>177</v>
      </c>
      <c r="D5075" t="s">
        <v>5183</v>
      </c>
      <c r="E5075" t="s">
        <v>4</v>
      </c>
      <c r="F5075">
        <v>7.8</v>
      </c>
      <c r="G5075">
        <v>0.65</v>
      </c>
      <c r="H5075" t="s">
        <v>106</v>
      </c>
      <c r="I5075" s="1">
        <v>10.66</v>
      </c>
      <c r="J5075" s="1">
        <v>10.44</v>
      </c>
      <c r="K5075" t="s">
        <v>457</v>
      </c>
      <c r="L5075" s="1">
        <v>11.48</v>
      </c>
    </row>
    <row r="5076" spans="1:12">
      <c r="A5076" t="s">
        <v>5098</v>
      </c>
      <c r="B5076">
        <v>530570</v>
      </c>
      <c r="C5076" s="2" t="str">
        <f>"1800"</f>
        <v>1800</v>
      </c>
      <c r="D5076" t="s">
        <v>5184</v>
      </c>
      <c r="E5076" t="s">
        <v>4</v>
      </c>
      <c r="F5076">
        <v>0.32</v>
      </c>
      <c r="H5076" t="s">
        <v>5</v>
      </c>
      <c r="I5076" s="1">
        <v>7.57</v>
      </c>
      <c r="J5076" s="1">
        <v>7.57</v>
      </c>
      <c r="K5076" t="s">
        <v>6</v>
      </c>
    </row>
    <row r="5077" spans="1:12">
      <c r="A5077" t="s">
        <v>5098</v>
      </c>
      <c r="B5077">
        <v>438836</v>
      </c>
      <c r="C5077" s="2" t="str">
        <f>"1805"</f>
        <v>1805</v>
      </c>
      <c r="D5077" t="s">
        <v>5185</v>
      </c>
      <c r="E5077" t="s">
        <v>4</v>
      </c>
      <c r="F5077">
        <v>0.67</v>
      </c>
      <c r="H5077" t="s">
        <v>5</v>
      </c>
      <c r="I5077" s="1">
        <v>5.69</v>
      </c>
      <c r="J5077" s="1">
        <v>5.69</v>
      </c>
      <c r="K5077" t="s">
        <v>6</v>
      </c>
    </row>
    <row r="5078" spans="1:12">
      <c r="A5078" t="s">
        <v>5098</v>
      </c>
      <c r="B5078">
        <v>399065</v>
      </c>
      <c r="C5078" s="2" t="str">
        <f>"200TC"</f>
        <v>200TC</v>
      </c>
      <c r="D5078" t="s">
        <v>5186</v>
      </c>
      <c r="E5078" t="s">
        <v>4</v>
      </c>
      <c r="F5078">
        <v>0.15</v>
      </c>
      <c r="H5078" t="s">
        <v>5</v>
      </c>
      <c r="I5078" s="1">
        <v>3.82</v>
      </c>
      <c r="J5078" s="1">
        <v>3.82</v>
      </c>
      <c r="K5078" t="s">
        <v>6</v>
      </c>
    </row>
    <row r="5079" spans="1:12">
      <c r="A5079" t="s">
        <v>5098</v>
      </c>
      <c r="B5079">
        <v>397378</v>
      </c>
      <c r="C5079" s="2" t="str">
        <f>"205"</f>
        <v>205</v>
      </c>
      <c r="D5079" t="s">
        <v>5187</v>
      </c>
      <c r="E5079" t="s">
        <v>4</v>
      </c>
      <c r="F5079">
        <v>1.08</v>
      </c>
      <c r="H5079" t="s">
        <v>5</v>
      </c>
      <c r="I5079" s="1">
        <v>6.4</v>
      </c>
      <c r="J5079" s="1">
        <v>6.4</v>
      </c>
      <c r="K5079" t="s">
        <v>6</v>
      </c>
    </row>
    <row r="5080" spans="1:12">
      <c r="A5080" t="s">
        <v>5098</v>
      </c>
      <c r="B5080">
        <v>380214</v>
      </c>
      <c r="C5080" s="2" t="str">
        <f>"206"</f>
        <v>206</v>
      </c>
      <c r="D5080" t="s">
        <v>5188</v>
      </c>
      <c r="E5080" t="s">
        <v>4</v>
      </c>
      <c r="F5080">
        <v>1.95</v>
      </c>
      <c r="H5080" t="s">
        <v>5</v>
      </c>
      <c r="I5080" s="1">
        <v>7.57</v>
      </c>
      <c r="J5080" s="1">
        <v>7.57</v>
      </c>
      <c r="K5080" t="s">
        <v>6</v>
      </c>
    </row>
    <row r="5081" spans="1:12">
      <c r="A5081" t="s">
        <v>5098</v>
      </c>
      <c r="B5081">
        <v>380215</v>
      </c>
      <c r="C5081" s="2" t="str">
        <f>"208"</f>
        <v>208</v>
      </c>
      <c r="D5081" t="s">
        <v>5189</v>
      </c>
      <c r="E5081" t="s">
        <v>4</v>
      </c>
      <c r="F5081">
        <v>2.93</v>
      </c>
      <c r="H5081" t="s">
        <v>5</v>
      </c>
      <c r="I5081" s="1">
        <v>12.71</v>
      </c>
      <c r="J5081" s="1">
        <v>12.71</v>
      </c>
      <c r="K5081" t="s">
        <v>6</v>
      </c>
    </row>
    <row r="5082" spans="1:12">
      <c r="A5082" t="s">
        <v>5098</v>
      </c>
      <c r="B5082">
        <v>380352</v>
      </c>
      <c r="C5082" s="2" t="str">
        <f>"21"</f>
        <v>21</v>
      </c>
      <c r="D5082" t="s">
        <v>5190</v>
      </c>
      <c r="E5082" t="s">
        <v>4</v>
      </c>
      <c r="F5082">
        <v>9.4600000000000009</v>
      </c>
      <c r="H5082" t="s">
        <v>5</v>
      </c>
      <c r="I5082" s="1">
        <v>37.130000000000003</v>
      </c>
      <c r="J5082" s="1">
        <v>37.130000000000003</v>
      </c>
      <c r="K5082" t="s">
        <v>6</v>
      </c>
    </row>
    <row r="5083" spans="1:12">
      <c r="A5083" t="s">
        <v>5098</v>
      </c>
      <c r="B5083">
        <v>380216</v>
      </c>
      <c r="C5083" s="2" t="str">
        <f>"210"</f>
        <v>210</v>
      </c>
      <c r="D5083" t="s">
        <v>5191</v>
      </c>
      <c r="E5083" t="s">
        <v>4</v>
      </c>
      <c r="F5083">
        <v>5.05</v>
      </c>
      <c r="H5083" t="s">
        <v>5</v>
      </c>
      <c r="I5083" s="1">
        <v>20.28</v>
      </c>
      <c r="J5083" s="1">
        <v>20.28</v>
      </c>
      <c r="K5083" t="s">
        <v>6</v>
      </c>
    </row>
    <row r="5084" spans="1:12">
      <c r="A5084" t="s">
        <v>5098</v>
      </c>
      <c r="B5084">
        <v>399064</v>
      </c>
      <c r="C5084" s="2" t="str">
        <f>"2108C-1"</f>
        <v>2108C-1</v>
      </c>
      <c r="D5084" t="s">
        <v>5192</v>
      </c>
      <c r="E5084" t="s">
        <v>4</v>
      </c>
      <c r="F5084">
        <v>1.36</v>
      </c>
      <c r="H5084" t="s">
        <v>5</v>
      </c>
      <c r="I5084" s="1">
        <v>9.2799999999999994</v>
      </c>
      <c r="J5084" s="1">
        <v>9.2799999999999994</v>
      </c>
      <c r="K5084" t="s">
        <v>6</v>
      </c>
    </row>
    <row r="5085" spans="1:12">
      <c r="A5085" t="s">
        <v>5098</v>
      </c>
      <c r="B5085">
        <v>402228</v>
      </c>
      <c r="C5085" s="2" t="str">
        <f>"2112C-1"</f>
        <v>2112C-1</v>
      </c>
      <c r="D5085" t="s">
        <v>5193</v>
      </c>
      <c r="E5085" t="s">
        <v>4</v>
      </c>
      <c r="F5085">
        <v>2</v>
      </c>
      <c r="H5085" t="s">
        <v>5</v>
      </c>
      <c r="I5085" s="1">
        <v>11.39</v>
      </c>
      <c r="J5085" s="1">
        <v>11.39</v>
      </c>
      <c r="K5085" t="s">
        <v>6</v>
      </c>
    </row>
    <row r="5086" spans="1:12">
      <c r="A5086" t="s">
        <v>5098</v>
      </c>
      <c r="B5086">
        <v>380217</v>
      </c>
      <c r="C5086" s="2" t="str">
        <f>"212"</f>
        <v>212</v>
      </c>
      <c r="D5086" t="s">
        <v>5194</v>
      </c>
      <c r="E5086" t="s">
        <v>4</v>
      </c>
      <c r="F5086">
        <v>5.25</v>
      </c>
      <c r="H5086" t="s">
        <v>5</v>
      </c>
      <c r="I5086" s="1">
        <v>30.26</v>
      </c>
      <c r="J5086" s="1">
        <v>30.26</v>
      </c>
      <c r="K5086" t="s">
        <v>6</v>
      </c>
    </row>
    <row r="5087" spans="1:12">
      <c r="A5087" t="s">
        <v>5098</v>
      </c>
      <c r="B5087">
        <v>399066</v>
      </c>
      <c r="C5087" s="2" t="str">
        <f>"2124C-1"</f>
        <v>2124C-1</v>
      </c>
      <c r="D5087" t="s">
        <v>5195</v>
      </c>
      <c r="E5087" t="s">
        <v>4</v>
      </c>
      <c r="F5087">
        <v>2</v>
      </c>
      <c r="H5087" t="s">
        <v>5</v>
      </c>
      <c r="I5087" s="1">
        <v>14.43</v>
      </c>
      <c r="J5087" s="1">
        <v>14.43</v>
      </c>
      <c r="K5087" t="s">
        <v>6</v>
      </c>
    </row>
    <row r="5088" spans="1:12">
      <c r="A5088" t="s">
        <v>5098</v>
      </c>
      <c r="B5088">
        <v>397944</v>
      </c>
      <c r="C5088" s="2" t="str">
        <f>"221"</f>
        <v>221</v>
      </c>
      <c r="D5088" t="s">
        <v>5196</v>
      </c>
      <c r="E5088" t="s">
        <v>4</v>
      </c>
      <c r="F5088">
        <v>29.04</v>
      </c>
      <c r="G5088">
        <v>1.21</v>
      </c>
      <c r="H5088" t="s">
        <v>666</v>
      </c>
      <c r="I5088" s="1">
        <v>5.64</v>
      </c>
      <c r="J5088" s="1">
        <v>5.64</v>
      </c>
      <c r="K5088" t="s">
        <v>21</v>
      </c>
      <c r="L5088" s="1">
        <v>6.21</v>
      </c>
    </row>
    <row r="5089" spans="1:12">
      <c r="A5089" t="s">
        <v>5098</v>
      </c>
      <c r="B5089">
        <v>523651</v>
      </c>
      <c r="C5089" s="2" t="str">
        <f>"2246A"</f>
        <v>2246A</v>
      </c>
      <c r="D5089" t="s">
        <v>5197</v>
      </c>
      <c r="E5089" t="s">
        <v>4</v>
      </c>
      <c r="F5089">
        <v>0.66</v>
      </c>
      <c r="H5089" t="s">
        <v>5</v>
      </c>
      <c r="I5089" s="1">
        <v>27.53</v>
      </c>
      <c r="J5089" s="1">
        <v>27.53</v>
      </c>
      <c r="K5089" t="s">
        <v>6</v>
      </c>
    </row>
    <row r="5090" spans="1:12">
      <c r="A5090" t="s">
        <v>5098</v>
      </c>
      <c r="B5090">
        <v>530565</v>
      </c>
      <c r="C5090" s="2" t="str">
        <f>"2248A"</f>
        <v>2248A</v>
      </c>
      <c r="D5090" t="s">
        <v>5198</v>
      </c>
      <c r="E5090" t="s">
        <v>4</v>
      </c>
      <c r="F5090">
        <v>0.66</v>
      </c>
      <c r="H5090" t="s">
        <v>5</v>
      </c>
      <c r="I5090" s="1">
        <v>27.53</v>
      </c>
      <c r="J5090" s="1">
        <v>27.53</v>
      </c>
      <c r="K5090" t="s">
        <v>6</v>
      </c>
    </row>
    <row r="5091" spans="1:12">
      <c r="A5091" t="s">
        <v>5098</v>
      </c>
      <c r="B5091">
        <v>530568</v>
      </c>
      <c r="C5091" s="2" t="str">
        <f>"2249A"</f>
        <v>2249A</v>
      </c>
      <c r="D5091" t="s">
        <v>5199</v>
      </c>
      <c r="E5091" t="s">
        <v>4</v>
      </c>
      <c r="F5091">
        <v>0.67</v>
      </c>
      <c r="H5091" t="s">
        <v>5</v>
      </c>
      <c r="I5091" s="1">
        <v>27.53</v>
      </c>
      <c r="J5091" s="1">
        <v>27.53</v>
      </c>
      <c r="K5091" t="s">
        <v>6</v>
      </c>
    </row>
    <row r="5092" spans="1:12">
      <c r="A5092" t="s">
        <v>5098</v>
      </c>
      <c r="B5092">
        <v>397418</v>
      </c>
      <c r="C5092" s="2" t="str">
        <f>"23"</f>
        <v>23</v>
      </c>
      <c r="D5092" t="s">
        <v>5200</v>
      </c>
      <c r="E5092" t="s">
        <v>4</v>
      </c>
      <c r="F5092">
        <v>31.98</v>
      </c>
      <c r="G5092">
        <v>5.33</v>
      </c>
      <c r="H5092" t="s">
        <v>20</v>
      </c>
      <c r="I5092" s="1">
        <v>22.88</v>
      </c>
      <c r="J5092" s="1">
        <v>22.88</v>
      </c>
      <c r="K5092" t="s">
        <v>457</v>
      </c>
      <c r="L5092" s="1">
        <v>25.17</v>
      </c>
    </row>
    <row r="5093" spans="1:12">
      <c r="A5093" t="s">
        <v>5098</v>
      </c>
      <c r="B5093">
        <v>423843</v>
      </c>
      <c r="C5093" s="2" t="str">
        <f>"236"</f>
        <v>236</v>
      </c>
      <c r="D5093" t="s">
        <v>5201</v>
      </c>
      <c r="E5093" t="s">
        <v>4</v>
      </c>
      <c r="F5093">
        <v>0.95</v>
      </c>
      <c r="H5093" t="s">
        <v>5</v>
      </c>
      <c r="I5093" s="1">
        <v>12.46</v>
      </c>
      <c r="J5093" s="1">
        <v>12.46</v>
      </c>
      <c r="K5093" t="s">
        <v>6</v>
      </c>
    </row>
    <row r="5094" spans="1:12">
      <c r="A5094" t="s">
        <v>5098</v>
      </c>
      <c r="B5094">
        <v>380467</v>
      </c>
      <c r="C5094" s="2" t="str">
        <f>"24"</f>
        <v>24</v>
      </c>
      <c r="D5094" t="s">
        <v>5202</v>
      </c>
      <c r="E5094" t="s">
        <v>4</v>
      </c>
      <c r="F5094">
        <v>49.8</v>
      </c>
      <c r="G5094">
        <v>8.3000000000000007</v>
      </c>
      <c r="H5094" t="s">
        <v>20</v>
      </c>
      <c r="I5094" s="1">
        <v>24.56</v>
      </c>
      <c r="J5094" s="1">
        <v>24.56</v>
      </c>
      <c r="K5094" t="s">
        <v>457</v>
      </c>
      <c r="L5094" s="1">
        <v>27.01</v>
      </c>
    </row>
    <row r="5095" spans="1:12">
      <c r="A5095" t="s">
        <v>5098</v>
      </c>
      <c r="B5095">
        <v>489258</v>
      </c>
      <c r="C5095" s="2" t="str">
        <f>"242"</f>
        <v>242</v>
      </c>
      <c r="D5095" t="s">
        <v>5203</v>
      </c>
      <c r="E5095" t="s">
        <v>4</v>
      </c>
      <c r="F5095">
        <v>2.2000000000000002</v>
      </c>
      <c r="H5095" t="s">
        <v>5</v>
      </c>
      <c r="I5095" s="1">
        <v>19.66</v>
      </c>
      <c r="J5095" s="1">
        <v>19.66</v>
      </c>
      <c r="K5095" t="s">
        <v>6</v>
      </c>
    </row>
    <row r="5096" spans="1:12">
      <c r="A5096" t="s">
        <v>5098</v>
      </c>
      <c r="B5096">
        <v>476690</v>
      </c>
      <c r="C5096" s="2" t="str">
        <f>"2455"</f>
        <v>2455</v>
      </c>
      <c r="D5096" t="s">
        <v>5204</v>
      </c>
      <c r="E5096" t="s">
        <v>4</v>
      </c>
      <c r="F5096">
        <v>9.64</v>
      </c>
      <c r="G5096">
        <v>2.41</v>
      </c>
      <c r="H5096" t="s">
        <v>153</v>
      </c>
      <c r="I5096" s="1">
        <v>11.52</v>
      </c>
      <c r="J5096" s="1">
        <v>11.52</v>
      </c>
      <c r="K5096" t="s">
        <v>21</v>
      </c>
      <c r="L5096" s="1">
        <v>12.67</v>
      </c>
    </row>
    <row r="5097" spans="1:12">
      <c r="A5097" t="s">
        <v>5098</v>
      </c>
      <c r="B5097">
        <v>475898</v>
      </c>
      <c r="C5097" s="2" t="str">
        <f>"2472"</f>
        <v>2472</v>
      </c>
      <c r="D5097" t="s">
        <v>5205</v>
      </c>
      <c r="E5097" t="s">
        <v>4</v>
      </c>
      <c r="F5097">
        <v>2.75</v>
      </c>
      <c r="H5097" t="s">
        <v>5</v>
      </c>
      <c r="I5097" s="1">
        <v>18.100000000000001</v>
      </c>
      <c r="J5097" s="1">
        <v>18.100000000000001</v>
      </c>
      <c r="K5097" t="s">
        <v>6</v>
      </c>
    </row>
    <row r="5098" spans="1:12">
      <c r="A5098" t="s">
        <v>5098</v>
      </c>
      <c r="B5098">
        <v>433559</v>
      </c>
      <c r="C5098" s="2" t="str">
        <f>"2474"</f>
        <v>2474</v>
      </c>
      <c r="D5098" t="s">
        <v>5206</v>
      </c>
      <c r="E5098" t="s">
        <v>4</v>
      </c>
      <c r="F5098">
        <v>2.25</v>
      </c>
      <c r="H5098" t="s">
        <v>5</v>
      </c>
      <c r="I5098" s="1">
        <v>14.51</v>
      </c>
      <c r="J5098" s="1">
        <v>14.51</v>
      </c>
      <c r="K5098" t="s">
        <v>6</v>
      </c>
    </row>
    <row r="5099" spans="1:12">
      <c r="A5099" t="s">
        <v>5098</v>
      </c>
      <c r="B5099">
        <v>420325</v>
      </c>
      <c r="C5099" s="2" t="str">
        <f>"2476"</f>
        <v>2476</v>
      </c>
      <c r="D5099" t="s">
        <v>5207</v>
      </c>
      <c r="E5099" t="s">
        <v>4</v>
      </c>
      <c r="F5099">
        <v>2.83</v>
      </c>
      <c r="H5099" t="s">
        <v>5</v>
      </c>
      <c r="I5099" s="1">
        <v>19.03</v>
      </c>
      <c r="J5099" s="1">
        <v>19.03</v>
      </c>
      <c r="K5099" t="s">
        <v>6</v>
      </c>
    </row>
    <row r="5100" spans="1:12">
      <c r="A5100" t="s">
        <v>5098</v>
      </c>
      <c r="B5100">
        <v>380183</v>
      </c>
      <c r="C5100" s="2" t="str">
        <f>"260-1"</f>
        <v>260-1</v>
      </c>
      <c r="D5100" t="s">
        <v>5208</v>
      </c>
      <c r="E5100" t="s">
        <v>4</v>
      </c>
      <c r="F5100">
        <v>5.2</v>
      </c>
      <c r="H5100" t="s">
        <v>5</v>
      </c>
      <c r="I5100" s="1">
        <v>12.09</v>
      </c>
      <c r="J5100" s="1">
        <v>12.09</v>
      </c>
      <c r="K5100" t="s">
        <v>6</v>
      </c>
    </row>
    <row r="5101" spans="1:12">
      <c r="A5101" t="s">
        <v>5098</v>
      </c>
      <c r="B5101">
        <v>386000</v>
      </c>
      <c r="C5101" s="2" t="str">
        <f>"260R"</f>
        <v>260R</v>
      </c>
      <c r="D5101" t="s">
        <v>5209</v>
      </c>
      <c r="E5101" t="s">
        <v>4</v>
      </c>
      <c r="F5101">
        <v>27</v>
      </c>
      <c r="H5101" t="s">
        <v>5</v>
      </c>
      <c r="I5101" s="1">
        <v>56.94</v>
      </c>
      <c r="J5101" s="1">
        <v>56.94</v>
      </c>
      <c r="K5101" t="s">
        <v>6</v>
      </c>
    </row>
    <row r="5102" spans="1:12">
      <c r="A5102" t="s">
        <v>5098</v>
      </c>
      <c r="B5102">
        <v>380184</v>
      </c>
      <c r="C5102" s="2" t="str">
        <f>"260SL-1"</f>
        <v>260SL-1</v>
      </c>
      <c r="D5102" t="s">
        <v>5210</v>
      </c>
      <c r="E5102" t="s">
        <v>4</v>
      </c>
      <c r="F5102">
        <v>5.21</v>
      </c>
      <c r="H5102" t="s">
        <v>5</v>
      </c>
      <c r="I5102" s="1">
        <v>12.09</v>
      </c>
      <c r="J5102" s="1">
        <v>12.09</v>
      </c>
      <c r="K5102" t="s">
        <v>6</v>
      </c>
    </row>
    <row r="5103" spans="1:12">
      <c r="A5103" t="s">
        <v>5098</v>
      </c>
      <c r="B5103">
        <v>380491</v>
      </c>
      <c r="C5103" s="2" t="str">
        <f>"263B-1"</f>
        <v>263B-1</v>
      </c>
      <c r="D5103" t="s">
        <v>5211</v>
      </c>
      <c r="E5103" t="s">
        <v>4</v>
      </c>
      <c r="F5103">
        <v>2.35</v>
      </c>
      <c r="H5103" t="s">
        <v>5</v>
      </c>
      <c r="I5103" s="1">
        <v>9.52</v>
      </c>
      <c r="J5103" s="1">
        <v>9.52</v>
      </c>
      <c r="K5103" t="s">
        <v>6</v>
      </c>
    </row>
    <row r="5104" spans="1:12">
      <c r="A5104" t="s">
        <v>5098</v>
      </c>
      <c r="B5104">
        <v>380492</v>
      </c>
      <c r="C5104" s="2" t="str">
        <f>"265R-1"</f>
        <v>265R-1</v>
      </c>
      <c r="D5104" t="s">
        <v>5212</v>
      </c>
      <c r="E5104" t="s">
        <v>4</v>
      </c>
      <c r="F5104">
        <v>2.35</v>
      </c>
      <c r="H5104" t="s">
        <v>5</v>
      </c>
      <c r="I5104" s="1">
        <v>12.09</v>
      </c>
      <c r="J5104" s="1">
        <v>12.09</v>
      </c>
      <c r="K5104" t="s">
        <v>6</v>
      </c>
    </row>
    <row r="5105" spans="1:12">
      <c r="A5105" t="s">
        <v>5098</v>
      </c>
      <c r="B5105">
        <v>399868</v>
      </c>
      <c r="C5105" s="2" t="str">
        <f>"2675"</f>
        <v>2675</v>
      </c>
      <c r="D5105" t="s">
        <v>5213</v>
      </c>
      <c r="E5105" t="s">
        <v>4</v>
      </c>
      <c r="F5105">
        <v>5.64</v>
      </c>
      <c r="G5105">
        <v>0.47</v>
      </c>
      <c r="H5105" t="s">
        <v>106</v>
      </c>
      <c r="I5105" s="1">
        <v>3.34</v>
      </c>
      <c r="J5105" s="1">
        <v>3.34</v>
      </c>
      <c r="K5105" t="s">
        <v>457</v>
      </c>
      <c r="L5105" s="1">
        <v>3.68</v>
      </c>
    </row>
    <row r="5106" spans="1:12">
      <c r="A5106" t="s">
        <v>5098</v>
      </c>
      <c r="B5106">
        <v>457414</v>
      </c>
      <c r="C5106" s="2" t="str">
        <f>"2912W"</f>
        <v>2912W</v>
      </c>
      <c r="D5106" t="s">
        <v>5214</v>
      </c>
      <c r="E5106" t="s">
        <v>4</v>
      </c>
      <c r="F5106">
        <v>1.08</v>
      </c>
      <c r="H5106" t="s">
        <v>5</v>
      </c>
      <c r="I5106" s="1">
        <v>9.6199999999999992</v>
      </c>
      <c r="J5106" s="1">
        <v>9.6199999999999992</v>
      </c>
      <c r="K5106" t="s">
        <v>6</v>
      </c>
    </row>
    <row r="5107" spans="1:12">
      <c r="A5107" t="s">
        <v>5098</v>
      </c>
      <c r="B5107">
        <v>457426</v>
      </c>
      <c r="C5107" s="2" t="str">
        <f>"2918W"</f>
        <v>2918W</v>
      </c>
      <c r="D5107" t="s">
        <v>5215</v>
      </c>
      <c r="E5107" t="s">
        <v>4</v>
      </c>
      <c r="F5107">
        <v>1.54</v>
      </c>
      <c r="H5107" t="s">
        <v>5</v>
      </c>
      <c r="I5107" s="1">
        <v>14.14</v>
      </c>
      <c r="J5107" s="1">
        <v>14.14</v>
      </c>
      <c r="K5107" t="s">
        <v>6</v>
      </c>
    </row>
    <row r="5108" spans="1:12">
      <c r="A5108" t="s">
        <v>5098</v>
      </c>
      <c r="B5108">
        <v>380488</v>
      </c>
      <c r="C5108" s="2" t="str">
        <f>"295"</f>
        <v>295</v>
      </c>
      <c r="D5108" t="s">
        <v>5216</v>
      </c>
      <c r="E5108" t="s">
        <v>4</v>
      </c>
      <c r="F5108">
        <v>3.96</v>
      </c>
      <c r="G5108">
        <v>0.33</v>
      </c>
      <c r="H5108" t="s">
        <v>106</v>
      </c>
      <c r="I5108" s="1">
        <v>9.36</v>
      </c>
      <c r="J5108" s="1">
        <v>9.36</v>
      </c>
      <c r="K5108" t="s">
        <v>1274</v>
      </c>
      <c r="L5108" s="1">
        <v>10.3</v>
      </c>
    </row>
    <row r="5109" spans="1:12">
      <c r="A5109" t="s">
        <v>5098</v>
      </c>
      <c r="B5109">
        <v>380489</v>
      </c>
      <c r="C5109" s="2" t="str">
        <f>"295R"</f>
        <v>295R</v>
      </c>
      <c r="D5109" t="s">
        <v>5217</v>
      </c>
      <c r="E5109" t="s">
        <v>4</v>
      </c>
      <c r="F5109">
        <v>3.96</v>
      </c>
      <c r="G5109">
        <v>0.33</v>
      </c>
      <c r="H5109" t="s">
        <v>106</v>
      </c>
      <c r="I5109" s="1">
        <v>9.36</v>
      </c>
      <c r="J5109" s="1">
        <v>9.36</v>
      </c>
      <c r="K5109" t="s">
        <v>1274</v>
      </c>
      <c r="L5109" s="1">
        <v>10.3</v>
      </c>
    </row>
    <row r="5110" spans="1:12">
      <c r="A5110" t="s">
        <v>5098</v>
      </c>
      <c r="B5110">
        <v>380490</v>
      </c>
      <c r="C5110" s="2" t="str">
        <f>"295X"</f>
        <v>295X</v>
      </c>
      <c r="D5110" t="s">
        <v>5218</v>
      </c>
      <c r="E5110" t="s">
        <v>4</v>
      </c>
      <c r="F5110">
        <v>3.96</v>
      </c>
      <c r="G5110">
        <v>0.33</v>
      </c>
      <c r="H5110" t="s">
        <v>106</v>
      </c>
      <c r="I5110" s="1">
        <v>9.36</v>
      </c>
      <c r="J5110" s="1">
        <v>9.36</v>
      </c>
      <c r="K5110" t="s">
        <v>1274</v>
      </c>
      <c r="L5110" s="1">
        <v>10.3</v>
      </c>
    </row>
    <row r="5111" spans="1:12">
      <c r="A5111" t="s">
        <v>5098</v>
      </c>
      <c r="B5111">
        <v>380444</v>
      </c>
      <c r="C5111" s="2" t="str">
        <f>"3004"</f>
        <v>3004</v>
      </c>
      <c r="D5111" t="s">
        <v>5219</v>
      </c>
      <c r="E5111" t="s">
        <v>4</v>
      </c>
      <c r="F5111">
        <v>14.4</v>
      </c>
      <c r="G5111">
        <v>1.2</v>
      </c>
      <c r="H5111" t="s">
        <v>106</v>
      </c>
      <c r="I5111" s="1">
        <v>8.06</v>
      </c>
      <c r="J5111" s="1">
        <v>8.06</v>
      </c>
      <c r="K5111" t="s">
        <v>457</v>
      </c>
      <c r="L5111" s="1">
        <v>8.8699999999999992</v>
      </c>
    </row>
    <row r="5112" spans="1:12">
      <c r="A5112" t="s">
        <v>5098</v>
      </c>
      <c r="B5112">
        <v>423239</v>
      </c>
      <c r="C5112" s="2" t="str">
        <f>"3005"</f>
        <v>3005</v>
      </c>
      <c r="D5112" t="s">
        <v>5220</v>
      </c>
      <c r="E5112" t="s">
        <v>4</v>
      </c>
      <c r="F5112">
        <v>1.05</v>
      </c>
      <c r="H5112" t="s">
        <v>5</v>
      </c>
      <c r="I5112" s="1">
        <v>6.44</v>
      </c>
      <c r="J5112" s="1">
        <v>6.44</v>
      </c>
      <c r="K5112" t="s">
        <v>6</v>
      </c>
    </row>
    <row r="5113" spans="1:12">
      <c r="A5113" t="s">
        <v>5098</v>
      </c>
      <c r="B5113">
        <v>380445</v>
      </c>
      <c r="C5113" s="2" t="str">
        <f>"3016"</f>
        <v>3016</v>
      </c>
      <c r="D5113" t="s">
        <v>5221</v>
      </c>
      <c r="E5113" t="s">
        <v>4</v>
      </c>
      <c r="F5113">
        <v>12.36</v>
      </c>
      <c r="G5113">
        <v>1.03</v>
      </c>
      <c r="H5113" t="s">
        <v>106</v>
      </c>
      <c r="I5113" s="1">
        <v>10.11</v>
      </c>
      <c r="J5113" s="1">
        <v>10.11</v>
      </c>
      <c r="K5113" t="s">
        <v>457</v>
      </c>
      <c r="L5113" s="1">
        <v>11.13</v>
      </c>
    </row>
    <row r="5114" spans="1:12">
      <c r="A5114" t="s">
        <v>5098</v>
      </c>
      <c r="B5114">
        <v>380446</v>
      </c>
      <c r="C5114" s="2" t="str">
        <f>"3033"</f>
        <v>3033</v>
      </c>
      <c r="D5114" t="s">
        <v>5222</v>
      </c>
      <c r="E5114" t="s">
        <v>4</v>
      </c>
      <c r="F5114">
        <v>32.4</v>
      </c>
      <c r="G5114">
        <v>2.7</v>
      </c>
      <c r="H5114" t="s">
        <v>106</v>
      </c>
      <c r="I5114" s="1">
        <v>7.06</v>
      </c>
      <c r="J5114" s="1">
        <v>7.06</v>
      </c>
      <c r="K5114" t="s">
        <v>457</v>
      </c>
      <c r="L5114" s="1">
        <v>7.76</v>
      </c>
    </row>
    <row r="5115" spans="1:12">
      <c r="A5115" t="s">
        <v>5098</v>
      </c>
      <c r="B5115">
        <v>380169</v>
      </c>
      <c r="C5115" s="2" t="str">
        <f>"30S&amp;P"</f>
        <v>30S&amp;P</v>
      </c>
      <c r="D5115" t="s">
        <v>5223</v>
      </c>
      <c r="E5115" t="s">
        <v>4</v>
      </c>
      <c r="F5115">
        <v>2.0699999999999998</v>
      </c>
      <c r="H5115" t="s">
        <v>5</v>
      </c>
      <c r="I5115" s="1">
        <v>9.0500000000000007</v>
      </c>
      <c r="J5115" s="1">
        <v>9.0500000000000007</v>
      </c>
      <c r="K5115" t="s">
        <v>6</v>
      </c>
    </row>
    <row r="5116" spans="1:12">
      <c r="A5116" t="s">
        <v>5098</v>
      </c>
      <c r="B5116">
        <v>380464</v>
      </c>
      <c r="C5116" s="2" t="str">
        <f>"310"</f>
        <v>310</v>
      </c>
      <c r="D5116" t="s">
        <v>5224</v>
      </c>
      <c r="E5116" t="s">
        <v>4</v>
      </c>
      <c r="F5116">
        <v>5</v>
      </c>
      <c r="G5116">
        <v>1</v>
      </c>
      <c r="H5116" t="s">
        <v>151</v>
      </c>
      <c r="I5116" s="1">
        <v>5.3</v>
      </c>
      <c r="J5116" s="1">
        <v>5.3</v>
      </c>
      <c r="K5116" t="s">
        <v>5225</v>
      </c>
      <c r="L5116" s="1">
        <v>5.83</v>
      </c>
    </row>
    <row r="5117" spans="1:12">
      <c r="A5117" t="s">
        <v>5098</v>
      </c>
      <c r="B5117">
        <v>380465</v>
      </c>
      <c r="C5117" s="2" t="str">
        <f>"312"</f>
        <v>312</v>
      </c>
      <c r="D5117" t="s">
        <v>5226</v>
      </c>
      <c r="E5117" t="s">
        <v>4</v>
      </c>
      <c r="F5117">
        <v>5.35</v>
      </c>
      <c r="G5117">
        <v>1.07</v>
      </c>
      <c r="H5117" t="s">
        <v>151</v>
      </c>
      <c r="I5117" s="1">
        <v>6.08</v>
      </c>
      <c r="J5117" s="1">
        <v>6.08</v>
      </c>
      <c r="K5117" t="s">
        <v>5225</v>
      </c>
      <c r="L5117" s="1">
        <v>6.69</v>
      </c>
    </row>
    <row r="5118" spans="1:12">
      <c r="A5118" t="s">
        <v>5098</v>
      </c>
      <c r="B5118">
        <v>415249</v>
      </c>
      <c r="C5118" s="2" t="str">
        <f>"31763C"</f>
        <v>31763C</v>
      </c>
      <c r="D5118" t="s">
        <v>5227</v>
      </c>
      <c r="E5118" t="s">
        <v>4</v>
      </c>
      <c r="F5118">
        <v>5</v>
      </c>
      <c r="H5118" t="s">
        <v>5</v>
      </c>
      <c r="I5118" s="1">
        <v>26.68</v>
      </c>
      <c r="J5118" s="1">
        <v>26.68</v>
      </c>
      <c r="K5118" t="s">
        <v>6</v>
      </c>
    </row>
    <row r="5119" spans="1:12">
      <c r="A5119" t="s">
        <v>5098</v>
      </c>
      <c r="B5119">
        <v>397997</v>
      </c>
      <c r="C5119" s="2" t="str">
        <f>"3263C"</f>
        <v>3263C</v>
      </c>
      <c r="D5119" t="s">
        <v>5228</v>
      </c>
      <c r="E5119" t="s">
        <v>4</v>
      </c>
      <c r="F5119">
        <v>3</v>
      </c>
      <c r="H5119" t="s">
        <v>5</v>
      </c>
      <c r="I5119" s="1">
        <v>17.32</v>
      </c>
      <c r="J5119" s="1">
        <v>17.32</v>
      </c>
      <c r="K5119" t="s">
        <v>6</v>
      </c>
    </row>
    <row r="5120" spans="1:12">
      <c r="A5120" t="s">
        <v>5098</v>
      </c>
      <c r="B5120">
        <v>380207</v>
      </c>
      <c r="C5120" s="2" t="str">
        <f>"32C"</f>
        <v>32C</v>
      </c>
      <c r="D5120" t="s">
        <v>5229</v>
      </c>
      <c r="E5120" t="s">
        <v>4</v>
      </c>
      <c r="F5120">
        <v>3</v>
      </c>
      <c r="H5120" t="s">
        <v>5</v>
      </c>
      <c r="I5120" s="1">
        <v>16.38</v>
      </c>
      <c r="J5120" s="1">
        <v>16.38</v>
      </c>
      <c r="K5120" t="s">
        <v>6</v>
      </c>
    </row>
    <row r="5121" spans="1:12">
      <c r="A5121" t="s">
        <v>5098</v>
      </c>
      <c r="B5121">
        <v>399870</v>
      </c>
      <c r="C5121" s="2" t="str">
        <f>"3306"</f>
        <v>3306</v>
      </c>
      <c r="D5121" t="s">
        <v>5230</v>
      </c>
      <c r="E5121" t="s">
        <v>4</v>
      </c>
      <c r="F5121">
        <v>9</v>
      </c>
      <c r="G5121">
        <v>0.75</v>
      </c>
      <c r="H5121" t="s">
        <v>106</v>
      </c>
      <c r="I5121" s="1">
        <v>3.89</v>
      </c>
      <c r="J5121" s="1">
        <v>3.89</v>
      </c>
      <c r="K5121" t="s">
        <v>457</v>
      </c>
      <c r="L5121" s="1">
        <v>4.28</v>
      </c>
    </row>
    <row r="5122" spans="1:12">
      <c r="A5122" t="s">
        <v>5098</v>
      </c>
      <c r="B5122">
        <v>380494</v>
      </c>
      <c r="C5122" s="2" t="str">
        <f>"341B-1"</f>
        <v>341B-1</v>
      </c>
      <c r="D5122" t="s">
        <v>5231</v>
      </c>
      <c r="E5122" t="s">
        <v>4</v>
      </c>
      <c r="F5122">
        <v>4.83</v>
      </c>
      <c r="H5122" t="s">
        <v>5</v>
      </c>
      <c r="I5122" s="1">
        <v>18.41</v>
      </c>
      <c r="J5122" s="1">
        <v>18.41</v>
      </c>
      <c r="K5122" t="s">
        <v>6</v>
      </c>
    </row>
    <row r="5123" spans="1:12">
      <c r="A5123" t="s">
        <v>5098</v>
      </c>
      <c r="B5123">
        <v>380443</v>
      </c>
      <c r="C5123" s="2" t="str">
        <f>"349"</f>
        <v>349</v>
      </c>
      <c r="D5123" t="s">
        <v>5232</v>
      </c>
      <c r="E5123" t="s">
        <v>4</v>
      </c>
      <c r="F5123">
        <v>10.38</v>
      </c>
      <c r="G5123">
        <v>1.73</v>
      </c>
      <c r="H5123" t="s">
        <v>20</v>
      </c>
      <c r="I5123" s="1">
        <v>43.16</v>
      </c>
      <c r="J5123" s="1">
        <v>43.16</v>
      </c>
      <c r="K5123" t="s">
        <v>457</v>
      </c>
      <c r="L5123" s="1">
        <v>47.48</v>
      </c>
    </row>
    <row r="5124" spans="1:12">
      <c r="A5124" t="s">
        <v>5098</v>
      </c>
      <c r="B5124">
        <v>412567</v>
      </c>
      <c r="C5124" s="2" t="str">
        <f>"356DPH"</f>
        <v>356DPH</v>
      </c>
      <c r="D5124" t="s">
        <v>5233</v>
      </c>
      <c r="E5124" t="s">
        <v>4</v>
      </c>
      <c r="F5124">
        <v>6</v>
      </c>
      <c r="H5124" t="s">
        <v>5</v>
      </c>
      <c r="I5124" s="1">
        <v>47.66</v>
      </c>
      <c r="J5124" s="1">
        <v>47.66</v>
      </c>
      <c r="K5124" t="s">
        <v>6</v>
      </c>
    </row>
    <row r="5125" spans="1:12">
      <c r="A5125" t="s">
        <v>5098</v>
      </c>
      <c r="B5125">
        <v>401029</v>
      </c>
      <c r="C5125" s="2" t="str">
        <f>"35R"</f>
        <v>35R</v>
      </c>
      <c r="D5125" t="s">
        <v>5234</v>
      </c>
      <c r="E5125" t="s">
        <v>4</v>
      </c>
      <c r="F5125">
        <v>0.25</v>
      </c>
      <c r="H5125" t="s">
        <v>5</v>
      </c>
      <c r="I5125" s="1">
        <v>2.96</v>
      </c>
      <c r="J5125" s="1">
        <v>2.96</v>
      </c>
      <c r="K5125" t="s">
        <v>6</v>
      </c>
    </row>
    <row r="5126" spans="1:12">
      <c r="A5126" t="s">
        <v>5098</v>
      </c>
      <c r="B5126">
        <v>397391</v>
      </c>
      <c r="C5126" s="2" t="str">
        <f>"376"</f>
        <v>376</v>
      </c>
      <c r="D5126" t="s">
        <v>5235</v>
      </c>
      <c r="E5126" t="s">
        <v>4</v>
      </c>
      <c r="F5126">
        <v>0.51</v>
      </c>
      <c r="H5126" t="s">
        <v>5</v>
      </c>
      <c r="I5126" s="1">
        <v>4.5</v>
      </c>
      <c r="J5126" s="1">
        <v>4.5</v>
      </c>
      <c r="K5126" t="s">
        <v>6</v>
      </c>
    </row>
    <row r="5127" spans="1:12">
      <c r="A5127" t="s">
        <v>5098</v>
      </c>
      <c r="B5127">
        <v>380487</v>
      </c>
      <c r="C5127" s="2" t="str">
        <f>"395"</f>
        <v>395</v>
      </c>
      <c r="D5127" t="s">
        <v>5236</v>
      </c>
      <c r="E5127" t="s">
        <v>4</v>
      </c>
      <c r="F5127">
        <v>0.25</v>
      </c>
      <c r="H5127" t="s">
        <v>5</v>
      </c>
      <c r="I5127" s="1">
        <v>1.59</v>
      </c>
      <c r="J5127" s="1">
        <v>1.59</v>
      </c>
      <c r="K5127" t="s">
        <v>6</v>
      </c>
    </row>
    <row r="5128" spans="1:12">
      <c r="A5128" t="s">
        <v>5098</v>
      </c>
      <c r="B5128">
        <v>476688</v>
      </c>
      <c r="C5128" s="2" t="str">
        <f>"40"</f>
        <v>40</v>
      </c>
      <c r="D5128" t="s">
        <v>5237</v>
      </c>
      <c r="E5128" t="s">
        <v>4</v>
      </c>
      <c r="F5128">
        <v>28</v>
      </c>
      <c r="G5128">
        <v>3.5</v>
      </c>
      <c r="H5128" t="s">
        <v>1456</v>
      </c>
      <c r="I5128" s="1">
        <v>21.58</v>
      </c>
      <c r="J5128" s="1">
        <v>21.58</v>
      </c>
      <c r="K5128" t="s">
        <v>21</v>
      </c>
      <c r="L5128" s="1">
        <v>23.74</v>
      </c>
    </row>
    <row r="5129" spans="1:12">
      <c r="A5129" t="s">
        <v>5098</v>
      </c>
      <c r="B5129">
        <v>476689</v>
      </c>
      <c r="C5129" s="2" t="str">
        <f>"4040"</f>
        <v>4040</v>
      </c>
      <c r="D5129" t="s">
        <v>5238</v>
      </c>
      <c r="E5129" t="s">
        <v>4</v>
      </c>
      <c r="F5129">
        <v>7.8</v>
      </c>
      <c r="G5129">
        <v>3.9</v>
      </c>
      <c r="H5129" t="s">
        <v>175</v>
      </c>
      <c r="I5129" s="1">
        <v>17.55</v>
      </c>
      <c r="J5129" s="1">
        <v>17.55</v>
      </c>
      <c r="K5129" t="s">
        <v>21</v>
      </c>
      <c r="L5129" s="1">
        <v>19.309999999999999</v>
      </c>
    </row>
    <row r="5130" spans="1:12">
      <c r="A5130" t="s">
        <v>5098</v>
      </c>
      <c r="B5130">
        <v>380188</v>
      </c>
      <c r="C5130" s="2" t="str">
        <f>"406"</f>
        <v>406</v>
      </c>
      <c r="D5130" t="s">
        <v>5239</v>
      </c>
      <c r="E5130" t="s">
        <v>4</v>
      </c>
      <c r="F5130">
        <v>11</v>
      </c>
      <c r="H5130" t="s">
        <v>5</v>
      </c>
      <c r="I5130" s="1">
        <v>60.61</v>
      </c>
      <c r="J5130" s="1">
        <v>60.61</v>
      </c>
      <c r="K5130" t="s">
        <v>6</v>
      </c>
    </row>
    <row r="5131" spans="1:12">
      <c r="A5131" t="s">
        <v>5098</v>
      </c>
      <c r="B5131">
        <v>458158</v>
      </c>
      <c r="C5131" s="2" t="str">
        <f>"4060"</f>
        <v>4060</v>
      </c>
      <c r="D5131" t="s">
        <v>5240</v>
      </c>
      <c r="E5131" t="s">
        <v>4</v>
      </c>
      <c r="F5131">
        <v>6</v>
      </c>
      <c r="G5131">
        <v>0.25</v>
      </c>
      <c r="H5131" t="s">
        <v>666</v>
      </c>
      <c r="I5131" s="1">
        <v>2.72</v>
      </c>
      <c r="J5131" s="1">
        <v>2.72</v>
      </c>
      <c r="K5131" t="s">
        <v>457</v>
      </c>
      <c r="L5131" s="1">
        <v>2.99</v>
      </c>
    </row>
    <row r="5132" spans="1:12">
      <c r="A5132" t="s">
        <v>5098</v>
      </c>
      <c r="B5132">
        <v>380466</v>
      </c>
      <c r="C5132" s="2" t="str">
        <f>"407"</f>
        <v>407</v>
      </c>
      <c r="D5132" t="s">
        <v>5241</v>
      </c>
      <c r="E5132" t="s">
        <v>4</v>
      </c>
      <c r="F5132">
        <v>8.0399999999999991</v>
      </c>
      <c r="G5132">
        <v>0.67</v>
      </c>
      <c r="H5132" t="s">
        <v>106</v>
      </c>
      <c r="I5132" s="1">
        <v>9.6999999999999993</v>
      </c>
      <c r="J5132" s="1">
        <v>9.6999999999999993</v>
      </c>
      <c r="K5132" t="s">
        <v>457</v>
      </c>
      <c r="L5132" s="1">
        <v>10.67</v>
      </c>
    </row>
    <row r="5133" spans="1:12">
      <c r="A5133" t="s">
        <v>5098</v>
      </c>
      <c r="B5133">
        <v>476691</v>
      </c>
      <c r="C5133" s="2" t="str">
        <f>"41"</f>
        <v>41</v>
      </c>
      <c r="D5133" t="s">
        <v>5242</v>
      </c>
      <c r="E5133" t="s">
        <v>4</v>
      </c>
      <c r="F5133">
        <v>31.04</v>
      </c>
      <c r="G5133">
        <v>3.88</v>
      </c>
      <c r="H5133" t="s">
        <v>1456</v>
      </c>
      <c r="I5133" s="1">
        <v>21.16</v>
      </c>
      <c r="J5133" s="1">
        <v>21.16</v>
      </c>
      <c r="K5133" t="s">
        <v>21</v>
      </c>
      <c r="L5133" s="1">
        <v>23.28</v>
      </c>
    </row>
    <row r="5134" spans="1:12">
      <c r="A5134" t="s">
        <v>5098</v>
      </c>
      <c r="B5134">
        <v>380189</v>
      </c>
      <c r="C5134" s="2" t="str">
        <f>"414"</f>
        <v>414</v>
      </c>
      <c r="D5134" t="s">
        <v>5243</v>
      </c>
      <c r="E5134" t="s">
        <v>4</v>
      </c>
      <c r="F5134">
        <v>14</v>
      </c>
      <c r="H5134" t="s">
        <v>5</v>
      </c>
      <c r="I5134" s="1">
        <v>88.37</v>
      </c>
      <c r="J5134" s="1">
        <v>88.37</v>
      </c>
      <c r="K5134" t="s">
        <v>6</v>
      </c>
    </row>
    <row r="5135" spans="1:12">
      <c r="A5135" t="s">
        <v>5098</v>
      </c>
      <c r="B5135">
        <v>397380</v>
      </c>
      <c r="C5135" s="2" t="str">
        <f>"4175"</f>
        <v>4175</v>
      </c>
      <c r="D5135" t="s">
        <v>5244</v>
      </c>
      <c r="E5135" t="s">
        <v>4</v>
      </c>
      <c r="F5135">
        <v>1.26</v>
      </c>
      <c r="H5135" t="s">
        <v>5</v>
      </c>
      <c r="I5135" s="1">
        <v>14.3</v>
      </c>
      <c r="J5135" s="1">
        <v>14.3</v>
      </c>
      <c r="K5135" t="s">
        <v>6</v>
      </c>
    </row>
    <row r="5136" spans="1:12">
      <c r="A5136" t="s">
        <v>5098</v>
      </c>
      <c r="B5136">
        <v>483097</v>
      </c>
      <c r="C5136" s="2" t="str">
        <f>"4256"</f>
        <v>4256</v>
      </c>
      <c r="D5136" t="s">
        <v>5245</v>
      </c>
      <c r="E5136" t="s">
        <v>4</v>
      </c>
      <c r="F5136">
        <v>3.12</v>
      </c>
      <c r="G5136">
        <v>0.13</v>
      </c>
      <c r="H5136" t="s">
        <v>666</v>
      </c>
      <c r="I5136" s="1">
        <v>1.77</v>
      </c>
      <c r="J5136" s="1">
        <v>1.77</v>
      </c>
      <c r="K5136" t="s">
        <v>457</v>
      </c>
      <c r="L5136" s="1">
        <v>1.94</v>
      </c>
    </row>
    <row r="5137" spans="1:12">
      <c r="A5137" t="s">
        <v>5098</v>
      </c>
      <c r="B5137">
        <v>380438</v>
      </c>
      <c r="C5137" s="2" t="str">
        <f>"433"</f>
        <v>433</v>
      </c>
      <c r="D5137" t="s">
        <v>5246</v>
      </c>
      <c r="E5137" t="s">
        <v>4</v>
      </c>
      <c r="F5137">
        <v>8.0399999999999991</v>
      </c>
      <c r="G5137">
        <v>0.67</v>
      </c>
      <c r="H5137" t="s">
        <v>106</v>
      </c>
      <c r="I5137" s="1">
        <v>6.01</v>
      </c>
      <c r="J5137" s="1">
        <v>6.01</v>
      </c>
      <c r="K5137" t="s">
        <v>457</v>
      </c>
      <c r="L5137" s="1">
        <v>6.61</v>
      </c>
    </row>
    <row r="5138" spans="1:12">
      <c r="A5138" t="s">
        <v>5098</v>
      </c>
      <c r="B5138">
        <v>380439</v>
      </c>
      <c r="C5138" s="2" t="str">
        <f>"434"</f>
        <v>434</v>
      </c>
      <c r="D5138" t="s">
        <v>5247</v>
      </c>
      <c r="E5138" t="s">
        <v>4</v>
      </c>
      <c r="F5138">
        <v>11.04</v>
      </c>
      <c r="G5138">
        <v>0.92</v>
      </c>
      <c r="H5138" t="s">
        <v>106</v>
      </c>
      <c r="I5138" s="1">
        <v>9</v>
      </c>
      <c r="J5138" s="1">
        <v>9</v>
      </c>
      <c r="K5138" t="s">
        <v>457</v>
      </c>
      <c r="L5138" s="1">
        <v>9.9</v>
      </c>
    </row>
    <row r="5139" spans="1:12">
      <c r="A5139" t="s">
        <v>5098</v>
      </c>
      <c r="B5139">
        <v>380440</v>
      </c>
      <c r="C5139" s="2" t="str">
        <f>"435"</f>
        <v>435</v>
      </c>
      <c r="D5139" t="s">
        <v>5248</v>
      </c>
      <c r="E5139" t="s">
        <v>4</v>
      </c>
      <c r="F5139">
        <v>12</v>
      </c>
      <c r="G5139">
        <v>1</v>
      </c>
      <c r="H5139" t="s">
        <v>106</v>
      </c>
      <c r="I5139" s="1">
        <v>12.53</v>
      </c>
      <c r="J5139" s="1">
        <v>12.53</v>
      </c>
      <c r="K5139" t="s">
        <v>457</v>
      </c>
      <c r="L5139" s="1">
        <v>13.79</v>
      </c>
    </row>
    <row r="5140" spans="1:12">
      <c r="A5140" t="s">
        <v>5098</v>
      </c>
      <c r="B5140">
        <v>476685</v>
      </c>
      <c r="C5140" s="2" t="str">
        <f>"44060"</f>
        <v>44060</v>
      </c>
      <c r="D5140" t="s">
        <v>5249</v>
      </c>
      <c r="E5140" t="s">
        <v>4</v>
      </c>
      <c r="F5140">
        <v>7.6</v>
      </c>
      <c r="G5140">
        <v>1.9</v>
      </c>
      <c r="H5140" t="s">
        <v>153</v>
      </c>
      <c r="I5140" s="1">
        <v>16.25</v>
      </c>
      <c r="J5140" s="1">
        <v>16.25</v>
      </c>
      <c r="K5140" t="s">
        <v>21</v>
      </c>
      <c r="L5140" s="1">
        <v>17.88</v>
      </c>
    </row>
    <row r="5141" spans="1:12">
      <c r="A5141" t="s">
        <v>5098</v>
      </c>
      <c r="B5141">
        <v>476686</v>
      </c>
      <c r="C5141" s="2" t="str">
        <f>"44080"</f>
        <v>44080</v>
      </c>
      <c r="D5141" t="s">
        <v>5250</v>
      </c>
      <c r="E5141" t="s">
        <v>4</v>
      </c>
      <c r="F5141">
        <v>8.1999999999999993</v>
      </c>
      <c r="G5141">
        <v>2.0499999999999998</v>
      </c>
      <c r="H5141" t="s">
        <v>153</v>
      </c>
      <c r="I5141" s="1">
        <v>16.25</v>
      </c>
      <c r="J5141" s="1">
        <v>16.25</v>
      </c>
      <c r="K5141" t="s">
        <v>21</v>
      </c>
      <c r="L5141" s="1">
        <v>17.88</v>
      </c>
    </row>
    <row r="5142" spans="1:12">
      <c r="A5142" t="s">
        <v>5098</v>
      </c>
      <c r="B5142">
        <v>380219</v>
      </c>
      <c r="C5142" s="2" t="str">
        <f>"442"</f>
        <v>442</v>
      </c>
      <c r="D5142" t="s">
        <v>5251</v>
      </c>
      <c r="E5142" t="s">
        <v>4</v>
      </c>
      <c r="F5142">
        <v>1.2</v>
      </c>
      <c r="H5142" t="s">
        <v>5</v>
      </c>
      <c r="I5142" s="1">
        <v>14.48</v>
      </c>
      <c r="J5142" s="1">
        <v>14.48</v>
      </c>
      <c r="K5142" t="s">
        <v>6</v>
      </c>
    </row>
    <row r="5143" spans="1:12">
      <c r="A5143" t="s">
        <v>5098</v>
      </c>
      <c r="B5143">
        <v>380457</v>
      </c>
      <c r="C5143" s="2" t="str">
        <f>"4424"</f>
        <v>4424</v>
      </c>
      <c r="D5143" t="s">
        <v>5252</v>
      </c>
      <c r="E5143" t="s">
        <v>4</v>
      </c>
      <c r="F5143">
        <v>16.920000000000002</v>
      </c>
      <c r="G5143">
        <v>1.41</v>
      </c>
      <c r="H5143" t="s">
        <v>106</v>
      </c>
      <c r="I5143" s="1">
        <v>16.87</v>
      </c>
      <c r="J5143" s="1">
        <v>16.87</v>
      </c>
      <c r="K5143" t="s">
        <v>457</v>
      </c>
      <c r="L5143" s="1">
        <v>18.559999999999999</v>
      </c>
    </row>
    <row r="5144" spans="1:12">
      <c r="A5144" t="s">
        <v>5098</v>
      </c>
      <c r="B5144">
        <v>380220</v>
      </c>
      <c r="C5144" s="2" t="str">
        <f>"444"</f>
        <v>444</v>
      </c>
      <c r="D5144" t="s">
        <v>5253</v>
      </c>
      <c r="E5144" t="s">
        <v>4</v>
      </c>
      <c r="F5144">
        <v>2</v>
      </c>
      <c r="H5144" t="s">
        <v>5</v>
      </c>
      <c r="I5144" s="1">
        <v>20.85</v>
      </c>
      <c r="J5144" s="1">
        <v>20.85</v>
      </c>
      <c r="K5144" t="s">
        <v>6</v>
      </c>
    </row>
    <row r="5145" spans="1:12">
      <c r="A5145" t="s">
        <v>5098</v>
      </c>
      <c r="B5145">
        <v>441766</v>
      </c>
      <c r="C5145" s="2" t="str">
        <f>"444T"</f>
        <v>444T</v>
      </c>
      <c r="D5145" t="s">
        <v>5254</v>
      </c>
      <c r="E5145" t="s">
        <v>4</v>
      </c>
      <c r="F5145">
        <v>0.16</v>
      </c>
      <c r="H5145" t="s">
        <v>5</v>
      </c>
      <c r="I5145" s="1">
        <v>2.78</v>
      </c>
      <c r="J5145" s="1">
        <v>2.78</v>
      </c>
      <c r="K5145" t="s">
        <v>6</v>
      </c>
    </row>
    <row r="5146" spans="1:12">
      <c r="A5146" t="s">
        <v>5098</v>
      </c>
      <c r="B5146">
        <v>380221</v>
      </c>
      <c r="C5146" s="2" t="str">
        <f>"447"</f>
        <v>447</v>
      </c>
      <c r="D5146" t="s">
        <v>5255</v>
      </c>
      <c r="E5146" t="s">
        <v>4</v>
      </c>
      <c r="F5146">
        <v>2.8</v>
      </c>
      <c r="H5146" t="s">
        <v>5</v>
      </c>
      <c r="I5146" s="1">
        <v>31.84</v>
      </c>
      <c r="J5146" s="1">
        <v>31.84</v>
      </c>
      <c r="K5146" t="s">
        <v>6</v>
      </c>
    </row>
    <row r="5147" spans="1:12">
      <c r="A5147" t="s">
        <v>5098</v>
      </c>
      <c r="B5147">
        <v>537754</v>
      </c>
      <c r="C5147" s="2" t="str">
        <f>"45"</f>
        <v>45</v>
      </c>
      <c r="D5147" t="s">
        <v>5256</v>
      </c>
      <c r="E5147" t="s">
        <v>4</v>
      </c>
      <c r="F5147">
        <v>20.16</v>
      </c>
      <c r="G5147">
        <v>7.0000000000000007E-2</v>
      </c>
      <c r="H5147" t="s">
        <v>5257</v>
      </c>
      <c r="I5147" s="1">
        <v>3.87</v>
      </c>
      <c r="J5147" s="1">
        <v>3.87</v>
      </c>
      <c r="K5147" t="s">
        <v>21</v>
      </c>
      <c r="L5147" s="1">
        <v>4.26</v>
      </c>
    </row>
    <row r="5148" spans="1:12">
      <c r="A5148" t="s">
        <v>5098</v>
      </c>
      <c r="B5148">
        <v>409024</v>
      </c>
      <c r="C5148" s="2" t="str">
        <f>"474"</f>
        <v>474</v>
      </c>
      <c r="D5148" t="s">
        <v>5258</v>
      </c>
      <c r="E5148" t="s">
        <v>4</v>
      </c>
      <c r="F5148">
        <v>2.08</v>
      </c>
      <c r="H5148" t="s">
        <v>5</v>
      </c>
      <c r="I5148" s="1">
        <v>20.85</v>
      </c>
      <c r="J5148" s="1">
        <v>20.85</v>
      </c>
      <c r="K5148" t="s">
        <v>6</v>
      </c>
    </row>
    <row r="5149" spans="1:12">
      <c r="A5149" t="s">
        <v>5098</v>
      </c>
      <c r="B5149">
        <v>429962</v>
      </c>
      <c r="C5149" s="2" t="str">
        <f>"477"</f>
        <v>477</v>
      </c>
      <c r="D5149" t="s">
        <v>5259</v>
      </c>
      <c r="E5149" t="s">
        <v>4</v>
      </c>
      <c r="F5149">
        <v>2.83</v>
      </c>
      <c r="H5149" t="s">
        <v>5</v>
      </c>
      <c r="I5149" s="1">
        <v>31.84</v>
      </c>
      <c r="J5149" s="1">
        <v>31.84</v>
      </c>
      <c r="K5149" t="s">
        <v>6</v>
      </c>
    </row>
    <row r="5150" spans="1:12">
      <c r="A5150" t="s">
        <v>5098</v>
      </c>
      <c r="B5150">
        <v>423830</v>
      </c>
      <c r="C5150" s="2" t="str">
        <f>"5"</f>
        <v>5</v>
      </c>
      <c r="D5150" t="s">
        <v>5260</v>
      </c>
      <c r="E5150" t="s">
        <v>4</v>
      </c>
      <c r="F5150">
        <v>4.5599999999999996</v>
      </c>
      <c r="G5150">
        <v>0.38</v>
      </c>
      <c r="H5150" t="s">
        <v>106</v>
      </c>
      <c r="I5150" s="1">
        <v>5.59</v>
      </c>
      <c r="J5150" s="1">
        <v>5.59</v>
      </c>
      <c r="K5150" t="s">
        <v>21</v>
      </c>
      <c r="L5150" s="1">
        <v>6.15</v>
      </c>
    </row>
    <row r="5151" spans="1:12">
      <c r="A5151" t="s">
        <v>5098</v>
      </c>
      <c r="B5151">
        <v>397060</v>
      </c>
      <c r="C5151" s="2" t="str">
        <f>"500LC"</f>
        <v>500LC</v>
      </c>
      <c r="D5151" t="s">
        <v>5261</v>
      </c>
      <c r="E5151" t="s">
        <v>4</v>
      </c>
      <c r="F5151">
        <v>3</v>
      </c>
      <c r="H5151" t="s">
        <v>5</v>
      </c>
      <c r="I5151" s="1">
        <v>38.299999999999997</v>
      </c>
      <c r="J5151" s="1">
        <v>38.299999999999997</v>
      </c>
      <c r="K5151" t="s">
        <v>6</v>
      </c>
    </row>
    <row r="5152" spans="1:12">
      <c r="A5152" t="s">
        <v>5098</v>
      </c>
      <c r="B5152">
        <v>380485</v>
      </c>
      <c r="C5152" s="2" t="str">
        <f>"501K"</f>
        <v>501K</v>
      </c>
      <c r="D5152" t="s">
        <v>5262</v>
      </c>
      <c r="E5152" t="s">
        <v>4</v>
      </c>
      <c r="F5152">
        <v>0.84</v>
      </c>
      <c r="G5152">
        <v>7.0000000000000007E-2</v>
      </c>
      <c r="H5152" t="s">
        <v>106</v>
      </c>
      <c r="I5152" s="1">
        <v>1.65</v>
      </c>
      <c r="J5152" s="1">
        <v>1.65</v>
      </c>
      <c r="K5152" t="s">
        <v>21</v>
      </c>
      <c r="L5152" s="1">
        <v>1.82</v>
      </c>
    </row>
    <row r="5153" spans="1:12">
      <c r="A5153" t="s">
        <v>5098</v>
      </c>
      <c r="B5153">
        <v>380477</v>
      </c>
      <c r="C5153" s="2" t="str">
        <f>"512"</f>
        <v>512</v>
      </c>
      <c r="D5153" t="s">
        <v>5263</v>
      </c>
      <c r="E5153" t="s">
        <v>4</v>
      </c>
      <c r="F5153">
        <v>2.64</v>
      </c>
      <c r="G5153">
        <v>0.22</v>
      </c>
      <c r="H5153" t="s">
        <v>106</v>
      </c>
      <c r="I5153" s="1">
        <v>1.95</v>
      </c>
      <c r="J5153" s="1">
        <v>1.95</v>
      </c>
      <c r="K5153" t="s">
        <v>21</v>
      </c>
      <c r="L5153" s="1">
        <v>2.15</v>
      </c>
    </row>
    <row r="5154" spans="1:12">
      <c r="A5154" t="s">
        <v>5098</v>
      </c>
      <c r="B5154">
        <v>380303</v>
      </c>
      <c r="C5154" s="2" t="str">
        <f>"514"</f>
        <v>514</v>
      </c>
      <c r="D5154" t="s">
        <v>5264</v>
      </c>
      <c r="E5154" t="s">
        <v>4</v>
      </c>
      <c r="F5154">
        <v>5.34</v>
      </c>
      <c r="H5154" t="s">
        <v>5</v>
      </c>
      <c r="I5154" s="1">
        <v>38.69</v>
      </c>
      <c r="J5154" s="1">
        <v>38.69</v>
      </c>
      <c r="K5154" t="s">
        <v>6</v>
      </c>
    </row>
    <row r="5155" spans="1:12">
      <c r="A5155" t="s">
        <v>5098</v>
      </c>
      <c r="B5155">
        <v>484284</v>
      </c>
      <c r="C5155" s="2" t="str">
        <f>"518"</f>
        <v>518</v>
      </c>
      <c r="D5155" t="s">
        <v>5265</v>
      </c>
      <c r="E5155" t="s">
        <v>4</v>
      </c>
      <c r="F5155">
        <v>1.8</v>
      </c>
      <c r="G5155">
        <v>0.18</v>
      </c>
      <c r="H5155" t="s">
        <v>108</v>
      </c>
      <c r="I5155" s="1">
        <v>5.93</v>
      </c>
      <c r="J5155" s="1">
        <v>5.93</v>
      </c>
      <c r="K5155" t="s">
        <v>1274</v>
      </c>
      <c r="L5155" s="1">
        <v>6.52</v>
      </c>
    </row>
    <row r="5156" spans="1:12">
      <c r="A5156" t="s">
        <v>5098</v>
      </c>
      <c r="B5156">
        <v>563757</v>
      </c>
      <c r="C5156" s="2" t="str">
        <f>"5188"</f>
        <v>5188</v>
      </c>
      <c r="D5156" t="s">
        <v>5266</v>
      </c>
      <c r="E5156" t="s">
        <v>5267</v>
      </c>
      <c r="F5156">
        <v>79.5</v>
      </c>
      <c r="G5156">
        <v>13.25</v>
      </c>
      <c r="H5156" t="s">
        <v>20</v>
      </c>
      <c r="I5156" s="1">
        <v>16.38</v>
      </c>
      <c r="J5156" s="1">
        <v>16.38</v>
      </c>
      <c r="K5156" t="s">
        <v>21</v>
      </c>
      <c r="L5156" s="1">
        <v>18.02</v>
      </c>
    </row>
    <row r="5157" spans="1:12">
      <c r="A5157" t="s">
        <v>5098</v>
      </c>
      <c r="B5157">
        <v>380471</v>
      </c>
      <c r="C5157" s="2" t="str">
        <f>"5189"</f>
        <v>5189</v>
      </c>
      <c r="D5157" t="s">
        <v>5268</v>
      </c>
      <c r="E5157" t="s">
        <v>4</v>
      </c>
      <c r="F5157">
        <v>13.26</v>
      </c>
      <c r="G5157">
        <v>2.21</v>
      </c>
      <c r="H5157" t="s">
        <v>20</v>
      </c>
      <c r="I5157" s="1">
        <v>19.149999999999999</v>
      </c>
      <c r="J5157" s="1">
        <v>18.760000000000002</v>
      </c>
      <c r="K5157" t="s">
        <v>457</v>
      </c>
      <c r="L5157" s="1">
        <v>20.63</v>
      </c>
    </row>
    <row r="5158" spans="1:12">
      <c r="A5158" t="s">
        <v>5098</v>
      </c>
      <c r="B5158">
        <v>459646</v>
      </c>
      <c r="C5158" s="2" t="str">
        <f>"5198"</f>
        <v>5198</v>
      </c>
      <c r="D5158" t="s">
        <v>5269</v>
      </c>
      <c r="E5158" t="s">
        <v>4</v>
      </c>
      <c r="F5158">
        <v>15</v>
      </c>
      <c r="G5158">
        <v>2.5</v>
      </c>
      <c r="H5158" t="s">
        <v>20</v>
      </c>
      <c r="I5158" s="1">
        <v>21.71</v>
      </c>
      <c r="J5158" s="1">
        <v>21.71</v>
      </c>
      <c r="K5158" t="s">
        <v>21</v>
      </c>
      <c r="L5158" s="1">
        <v>23.88</v>
      </c>
    </row>
    <row r="5159" spans="1:12">
      <c r="A5159" t="s">
        <v>5098</v>
      </c>
      <c r="B5159">
        <v>380473</v>
      </c>
      <c r="C5159" s="2" t="str">
        <f>"526T"</f>
        <v>526T</v>
      </c>
      <c r="D5159" t="s">
        <v>5270</v>
      </c>
      <c r="E5159" t="s">
        <v>4</v>
      </c>
      <c r="F5159">
        <v>3.36</v>
      </c>
      <c r="G5159">
        <v>7.0000000000000007E-2</v>
      </c>
      <c r="H5159" t="s">
        <v>1432</v>
      </c>
      <c r="I5159" s="1">
        <v>0.44</v>
      </c>
      <c r="J5159" s="1">
        <v>0.44</v>
      </c>
      <c r="K5159" t="s">
        <v>21</v>
      </c>
      <c r="L5159" s="1">
        <v>0.49</v>
      </c>
    </row>
    <row r="5160" spans="1:12">
      <c r="A5160" t="s">
        <v>5098</v>
      </c>
      <c r="B5160">
        <v>380472</v>
      </c>
      <c r="C5160" s="2" t="str">
        <f>"5388"</f>
        <v>5388</v>
      </c>
      <c r="D5160" t="s">
        <v>5271</v>
      </c>
      <c r="E5160" t="s">
        <v>4</v>
      </c>
      <c r="F5160">
        <v>35.82</v>
      </c>
      <c r="G5160">
        <v>5.97</v>
      </c>
      <c r="H5160" t="s">
        <v>20</v>
      </c>
      <c r="I5160" s="1">
        <v>24.36</v>
      </c>
      <c r="J5160" s="1">
        <v>24.36</v>
      </c>
      <c r="K5160" t="s">
        <v>457</v>
      </c>
      <c r="L5160" s="1">
        <v>26.8</v>
      </c>
    </row>
    <row r="5161" spans="1:12">
      <c r="A5161" t="s">
        <v>5098</v>
      </c>
      <c r="B5161">
        <v>380180</v>
      </c>
      <c r="C5161" s="2" t="str">
        <f>"55S-1"</f>
        <v>55S-1</v>
      </c>
      <c r="D5161" t="s">
        <v>5272</v>
      </c>
      <c r="E5161" t="s">
        <v>4</v>
      </c>
      <c r="F5161">
        <v>10</v>
      </c>
      <c r="H5161" t="s">
        <v>5</v>
      </c>
      <c r="I5161" s="1">
        <v>19.809999999999999</v>
      </c>
      <c r="J5161" s="1">
        <v>19.809999999999999</v>
      </c>
      <c r="K5161" t="s">
        <v>6</v>
      </c>
    </row>
    <row r="5162" spans="1:12">
      <c r="A5162" t="s">
        <v>5098</v>
      </c>
      <c r="B5162">
        <v>397373</v>
      </c>
      <c r="C5162" s="2" t="str">
        <f>"56C"</f>
        <v>56C</v>
      </c>
      <c r="D5162" t="s">
        <v>5273</v>
      </c>
      <c r="E5162" t="s">
        <v>4</v>
      </c>
      <c r="F5162">
        <v>4</v>
      </c>
      <c r="H5162" t="s">
        <v>5</v>
      </c>
      <c r="I5162" s="1">
        <v>18.88</v>
      </c>
      <c r="J5162" s="1">
        <v>18.88</v>
      </c>
      <c r="K5162" t="s">
        <v>6</v>
      </c>
    </row>
    <row r="5163" spans="1:12">
      <c r="A5163" t="s">
        <v>5098</v>
      </c>
      <c r="B5163">
        <v>380495</v>
      </c>
      <c r="C5163" s="2" t="str">
        <f>"575"</f>
        <v>575</v>
      </c>
      <c r="D5163" t="s">
        <v>5274</v>
      </c>
      <c r="E5163" t="s">
        <v>4</v>
      </c>
      <c r="F5163">
        <v>11.7</v>
      </c>
      <c r="H5163" t="s">
        <v>5</v>
      </c>
      <c r="I5163" s="1">
        <v>49.14</v>
      </c>
      <c r="J5163" s="1">
        <v>49.14</v>
      </c>
      <c r="K5163" t="s">
        <v>6</v>
      </c>
    </row>
    <row r="5164" spans="1:12">
      <c r="A5164" t="s">
        <v>5098</v>
      </c>
      <c r="B5164">
        <v>380181</v>
      </c>
      <c r="C5164" s="2" t="str">
        <f>"57S-1"</f>
        <v>57S-1</v>
      </c>
      <c r="D5164" t="s">
        <v>5275</v>
      </c>
      <c r="E5164" t="s">
        <v>4</v>
      </c>
      <c r="F5164">
        <v>10</v>
      </c>
      <c r="H5164" t="s">
        <v>5</v>
      </c>
      <c r="I5164" s="1">
        <v>19.809999999999999</v>
      </c>
      <c r="J5164" s="1">
        <v>19.809999999999999</v>
      </c>
      <c r="K5164" t="s">
        <v>6</v>
      </c>
    </row>
    <row r="5165" spans="1:12">
      <c r="A5165" t="s">
        <v>5098</v>
      </c>
      <c r="B5165">
        <v>380173</v>
      </c>
      <c r="C5165" s="2" t="str">
        <f>"591C"</f>
        <v>591C</v>
      </c>
      <c r="D5165" t="s">
        <v>5276</v>
      </c>
      <c r="E5165" t="s">
        <v>4</v>
      </c>
      <c r="F5165">
        <v>8.69</v>
      </c>
      <c r="H5165" t="s">
        <v>5</v>
      </c>
      <c r="I5165" s="1">
        <v>44.3</v>
      </c>
      <c r="J5165" s="1">
        <v>44.3</v>
      </c>
      <c r="K5165" t="s">
        <v>6</v>
      </c>
    </row>
    <row r="5166" spans="1:12">
      <c r="A5166" t="s">
        <v>5098</v>
      </c>
      <c r="B5166">
        <v>380174</v>
      </c>
      <c r="C5166" s="2" t="str">
        <f>"593R"</f>
        <v>593R</v>
      </c>
      <c r="D5166" t="s">
        <v>5276</v>
      </c>
      <c r="E5166" t="s">
        <v>4</v>
      </c>
      <c r="F5166">
        <v>6.36</v>
      </c>
      <c r="H5166" t="s">
        <v>5</v>
      </c>
      <c r="I5166" s="1">
        <v>40.17</v>
      </c>
      <c r="J5166" s="1">
        <v>40.17</v>
      </c>
      <c r="K5166" t="s">
        <v>6</v>
      </c>
    </row>
    <row r="5167" spans="1:12">
      <c r="A5167" t="s">
        <v>5098</v>
      </c>
      <c r="B5167">
        <v>380175</v>
      </c>
      <c r="C5167" s="2" t="str">
        <f>"597C"</f>
        <v>597C</v>
      </c>
      <c r="D5167" t="s">
        <v>5277</v>
      </c>
      <c r="E5167" t="s">
        <v>4</v>
      </c>
      <c r="F5167">
        <v>6.6</v>
      </c>
      <c r="H5167" t="s">
        <v>5</v>
      </c>
      <c r="I5167" s="1">
        <v>39.31</v>
      </c>
      <c r="J5167" s="1">
        <v>39.31</v>
      </c>
      <c r="K5167" t="s">
        <v>6</v>
      </c>
    </row>
    <row r="5168" spans="1:12">
      <c r="A5168" t="s">
        <v>5098</v>
      </c>
      <c r="B5168">
        <v>484630</v>
      </c>
      <c r="C5168" s="2" t="str">
        <f>"59BK"</f>
        <v>59BK</v>
      </c>
      <c r="D5168" t="s">
        <v>5278</v>
      </c>
      <c r="E5168" t="s">
        <v>4</v>
      </c>
      <c r="F5168">
        <v>9</v>
      </c>
      <c r="G5168">
        <v>0.36</v>
      </c>
      <c r="H5168" t="s">
        <v>4328</v>
      </c>
      <c r="I5168" s="1">
        <v>9.26</v>
      </c>
      <c r="J5168" s="1">
        <v>9.26</v>
      </c>
      <c r="K5168" t="s">
        <v>21</v>
      </c>
      <c r="L5168" s="1">
        <v>10.18</v>
      </c>
    </row>
    <row r="5169" spans="1:12">
      <c r="A5169" t="s">
        <v>5098</v>
      </c>
      <c r="B5169">
        <v>380178</v>
      </c>
      <c r="C5169" s="2" t="str">
        <f>"600"</f>
        <v>600</v>
      </c>
      <c r="D5169" t="s">
        <v>5279</v>
      </c>
      <c r="E5169" t="s">
        <v>4</v>
      </c>
      <c r="F5169">
        <v>7</v>
      </c>
      <c r="H5169" t="s">
        <v>5</v>
      </c>
      <c r="I5169" s="1">
        <v>14.98</v>
      </c>
      <c r="J5169" s="1">
        <v>14.98</v>
      </c>
      <c r="K5169" t="s">
        <v>6</v>
      </c>
    </row>
    <row r="5170" spans="1:12">
      <c r="A5170" t="s">
        <v>5098</v>
      </c>
      <c r="B5170">
        <v>380179</v>
      </c>
      <c r="C5170" s="2" t="str">
        <f>"600R"</f>
        <v>600R</v>
      </c>
      <c r="D5170" t="s">
        <v>5280</v>
      </c>
      <c r="E5170" t="s">
        <v>4</v>
      </c>
      <c r="F5170">
        <v>2</v>
      </c>
      <c r="H5170" t="s">
        <v>5</v>
      </c>
      <c r="I5170" s="1">
        <v>45.55</v>
      </c>
      <c r="J5170" s="1">
        <v>45.55</v>
      </c>
      <c r="K5170" t="s">
        <v>6</v>
      </c>
    </row>
    <row r="5171" spans="1:12">
      <c r="A5171" t="s">
        <v>5098</v>
      </c>
      <c r="B5171">
        <v>405645</v>
      </c>
      <c r="C5171" s="2" t="str">
        <f>"600ST"</f>
        <v>600ST</v>
      </c>
      <c r="D5171" t="s">
        <v>5281</v>
      </c>
      <c r="E5171" t="s">
        <v>4</v>
      </c>
      <c r="F5171">
        <v>10</v>
      </c>
      <c r="H5171" t="s">
        <v>5</v>
      </c>
      <c r="I5171" s="1">
        <v>41.89</v>
      </c>
      <c r="J5171" s="1">
        <v>41.89</v>
      </c>
      <c r="K5171" t="s">
        <v>6</v>
      </c>
    </row>
    <row r="5172" spans="1:12">
      <c r="A5172" t="s">
        <v>5098</v>
      </c>
      <c r="B5172">
        <v>380480</v>
      </c>
      <c r="C5172" s="2" t="str">
        <f>"605"</f>
        <v>605</v>
      </c>
      <c r="D5172" t="s">
        <v>5282</v>
      </c>
      <c r="E5172" t="s">
        <v>4</v>
      </c>
      <c r="F5172">
        <v>2.4</v>
      </c>
      <c r="G5172">
        <v>0.2</v>
      </c>
      <c r="H5172" t="s">
        <v>106</v>
      </c>
      <c r="I5172" s="1">
        <v>1.95</v>
      </c>
      <c r="J5172" s="1">
        <v>1.95</v>
      </c>
      <c r="K5172" t="s">
        <v>457</v>
      </c>
      <c r="L5172" s="1">
        <v>2.15</v>
      </c>
    </row>
    <row r="5173" spans="1:12">
      <c r="A5173" t="s">
        <v>5098</v>
      </c>
      <c r="B5173">
        <v>380481</v>
      </c>
      <c r="C5173" s="2" t="str">
        <f>"612"</f>
        <v>612</v>
      </c>
      <c r="D5173" t="s">
        <v>5283</v>
      </c>
      <c r="E5173" t="s">
        <v>4</v>
      </c>
      <c r="F5173">
        <v>3.84</v>
      </c>
      <c r="G5173">
        <v>0.32</v>
      </c>
      <c r="H5173" t="s">
        <v>106</v>
      </c>
      <c r="I5173" s="1">
        <v>2.73</v>
      </c>
      <c r="J5173" s="1">
        <v>2.73</v>
      </c>
      <c r="K5173" t="s">
        <v>457</v>
      </c>
      <c r="L5173" s="1">
        <v>3</v>
      </c>
    </row>
    <row r="5174" spans="1:12">
      <c r="A5174" t="s">
        <v>5098</v>
      </c>
      <c r="B5174">
        <v>380482</v>
      </c>
      <c r="C5174" s="2" t="str">
        <f>"624"</f>
        <v>624</v>
      </c>
      <c r="D5174" t="s">
        <v>5284</v>
      </c>
      <c r="E5174" t="s">
        <v>4</v>
      </c>
      <c r="F5174">
        <v>6</v>
      </c>
      <c r="G5174">
        <v>0.5</v>
      </c>
      <c r="H5174" t="s">
        <v>106</v>
      </c>
      <c r="I5174" s="1">
        <v>4.84</v>
      </c>
      <c r="J5174" s="1">
        <v>4.84</v>
      </c>
      <c r="K5174" t="s">
        <v>457</v>
      </c>
      <c r="L5174" s="1">
        <v>5.32</v>
      </c>
    </row>
    <row r="5175" spans="1:12">
      <c r="A5175" t="s">
        <v>5098</v>
      </c>
      <c r="B5175">
        <v>389081</v>
      </c>
      <c r="C5175" s="2" t="str">
        <f>"65"</f>
        <v>65</v>
      </c>
      <c r="D5175" t="s">
        <v>5285</v>
      </c>
      <c r="E5175" t="s">
        <v>4</v>
      </c>
      <c r="F5175">
        <v>15</v>
      </c>
      <c r="H5175" t="s">
        <v>5</v>
      </c>
      <c r="I5175" s="1">
        <v>41.48</v>
      </c>
      <c r="J5175" s="1">
        <v>41.48</v>
      </c>
      <c r="K5175" t="s">
        <v>6</v>
      </c>
    </row>
    <row r="5176" spans="1:12">
      <c r="A5176" t="s">
        <v>5098</v>
      </c>
      <c r="B5176">
        <v>380483</v>
      </c>
      <c r="C5176" s="2" t="str">
        <f>"658"</f>
        <v>658</v>
      </c>
      <c r="D5176" t="s">
        <v>5286</v>
      </c>
      <c r="E5176" t="s">
        <v>4</v>
      </c>
      <c r="F5176">
        <v>13.32</v>
      </c>
      <c r="G5176">
        <v>1.1100000000000001</v>
      </c>
      <c r="H5176" t="s">
        <v>106</v>
      </c>
      <c r="I5176" s="1">
        <v>8.7100000000000009</v>
      </c>
      <c r="J5176" s="1">
        <v>8.7100000000000009</v>
      </c>
      <c r="K5176" t="s">
        <v>457</v>
      </c>
      <c r="L5176" s="1">
        <v>9.58</v>
      </c>
    </row>
    <row r="5177" spans="1:12">
      <c r="A5177" t="s">
        <v>5098</v>
      </c>
      <c r="B5177">
        <v>393180</v>
      </c>
      <c r="C5177" s="2" t="str">
        <f>"65A"</f>
        <v>65A</v>
      </c>
      <c r="D5177" t="s">
        <v>5287</v>
      </c>
      <c r="E5177" t="s">
        <v>4</v>
      </c>
      <c r="F5177">
        <v>21</v>
      </c>
      <c r="H5177" t="s">
        <v>5</v>
      </c>
      <c r="I5177" s="1">
        <v>58.24</v>
      </c>
      <c r="J5177" s="1">
        <v>58.24</v>
      </c>
      <c r="K5177" t="s">
        <v>6</v>
      </c>
    </row>
    <row r="5178" spans="1:12">
      <c r="A5178" t="s">
        <v>5098</v>
      </c>
      <c r="B5178">
        <v>389082</v>
      </c>
      <c r="C5178" s="2" t="str">
        <f>"66"</f>
        <v>66</v>
      </c>
      <c r="D5178" t="s">
        <v>5288</v>
      </c>
      <c r="E5178" t="s">
        <v>4</v>
      </c>
      <c r="F5178">
        <v>15</v>
      </c>
      <c r="H5178" t="s">
        <v>5</v>
      </c>
      <c r="I5178" s="1">
        <v>41.48</v>
      </c>
      <c r="J5178" s="1">
        <v>41.48</v>
      </c>
      <c r="K5178" t="s">
        <v>6</v>
      </c>
    </row>
    <row r="5179" spans="1:12">
      <c r="A5179" t="s">
        <v>5098</v>
      </c>
      <c r="B5179">
        <v>380208</v>
      </c>
      <c r="C5179" s="2" t="str">
        <f>"662"</f>
        <v>662</v>
      </c>
      <c r="D5179" t="s">
        <v>5289</v>
      </c>
      <c r="E5179" t="s">
        <v>4</v>
      </c>
      <c r="F5179">
        <v>1.7</v>
      </c>
      <c r="H5179" t="s">
        <v>5</v>
      </c>
      <c r="I5179" s="1">
        <v>43.99</v>
      </c>
      <c r="J5179" s="1">
        <v>43.99</v>
      </c>
      <c r="K5179" t="s">
        <v>6</v>
      </c>
    </row>
    <row r="5180" spans="1:12">
      <c r="A5180" t="s">
        <v>5098</v>
      </c>
      <c r="B5180">
        <v>397419</v>
      </c>
      <c r="C5180" s="2" t="str">
        <f>"662110"</f>
        <v>662110</v>
      </c>
      <c r="D5180" t="s">
        <v>5290</v>
      </c>
      <c r="E5180" t="s">
        <v>4</v>
      </c>
      <c r="F5180">
        <v>3.24</v>
      </c>
      <c r="G5180">
        <v>0.27</v>
      </c>
      <c r="H5180" t="s">
        <v>106</v>
      </c>
      <c r="I5180" s="1">
        <v>4.68</v>
      </c>
      <c r="J5180" s="1">
        <v>4.68</v>
      </c>
      <c r="K5180" t="s">
        <v>457</v>
      </c>
      <c r="L5180" s="1">
        <v>5.15</v>
      </c>
    </row>
    <row r="5181" spans="1:12">
      <c r="A5181" t="s">
        <v>5098</v>
      </c>
      <c r="B5181">
        <v>397421</v>
      </c>
      <c r="C5181" s="2" t="str">
        <f>"662160"</f>
        <v>662160</v>
      </c>
      <c r="D5181" t="s">
        <v>5291</v>
      </c>
      <c r="E5181" t="s">
        <v>4</v>
      </c>
      <c r="F5181">
        <v>3.96</v>
      </c>
      <c r="G5181">
        <v>0.33</v>
      </c>
      <c r="H5181" t="s">
        <v>106</v>
      </c>
      <c r="I5181" s="1">
        <v>4.59</v>
      </c>
      <c r="J5181" s="1">
        <v>4.59</v>
      </c>
      <c r="K5181" t="s">
        <v>457</v>
      </c>
      <c r="L5181" s="1">
        <v>5.05</v>
      </c>
    </row>
    <row r="5182" spans="1:12">
      <c r="A5182" t="s">
        <v>5098</v>
      </c>
      <c r="B5182">
        <v>394214</v>
      </c>
      <c r="C5182" s="2" t="str">
        <f>"66238"</f>
        <v>66238</v>
      </c>
      <c r="D5182" t="s">
        <v>5292</v>
      </c>
      <c r="E5182" t="s">
        <v>4</v>
      </c>
      <c r="F5182">
        <v>3</v>
      </c>
      <c r="H5182" t="s">
        <v>5</v>
      </c>
      <c r="I5182" s="1">
        <v>53.66</v>
      </c>
      <c r="J5182" s="1">
        <v>53.66</v>
      </c>
      <c r="K5182" t="s">
        <v>6</v>
      </c>
    </row>
    <row r="5183" spans="1:12">
      <c r="A5183" t="s">
        <v>5098</v>
      </c>
      <c r="B5183">
        <v>380210</v>
      </c>
      <c r="C5183" s="2" t="str">
        <f>"662K"</f>
        <v>662K</v>
      </c>
      <c r="D5183" t="s">
        <v>5293</v>
      </c>
      <c r="E5183" t="s">
        <v>4</v>
      </c>
      <c r="F5183">
        <v>0.5</v>
      </c>
      <c r="H5183" t="s">
        <v>5</v>
      </c>
      <c r="I5183" s="1">
        <v>8.66</v>
      </c>
      <c r="J5183" s="1">
        <v>8.66</v>
      </c>
      <c r="K5183" t="s">
        <v>6</v>
      </c>
    </row>
    <row r="5184" spans="1:12">
      <c r="A5184" t="s">
        <v>5098</v>
      </c>
      <c r="B5184">
        <v>431453</v>
      </c>
      <c r="C5184" s="2" t="str">
        <f>"664K"</f>
        <v>664K</v>
      </c>
      <c r="D5184" t="s">
        <v>5294</v>
      </c>
      <c r="E5184" t="s">
        <v>4</v>
      </c>
      <c r="F5184">
        <v>3.96</v>
      </c>
      <c r="G5184">
        <v>0.66</v>
      </c>
      <c r="H5184" t="s">
        <v>20</v>
      </c>
      <c r="I5184" s="1">
        <v>24.08</v>
      </c>
      <c r="J5184" s="1">
        <v>24.08</v>
      </c>
      <c r="K5184" t="s">
        <v>457</v>
      </c>
      <c r="L5184" s="1">
        <v>26.48</v>
      </c>
    </row>
    <row r="5185" spans="1:12">
      <c r="A5185" t="s">
        <v>5098</v>
      </c>
      <c r="B5185">
        <v>380469</v>
      </c>
      <c r="C5185" s="2" t="str">
        <f>"666"</f>
        <v>666</v>
      </c>
      <c r="D5185" t="s">
        <v>5295</v>
      </c>
      <c r="E5185" t="s">
        <v>4</v>
      </c>
      <c r="F5185">
        <v>14.52</v>
      </c>
      <c r="G5185">
        <v>1.21</v>
      </c>
      <c r="H5185" t="s">
        <v>106</v>
      </c>
      <c r="I5185" s="1">
        <v>7.57</v>
      </c>
      <c r="J5185" s="1">
        <v>7.57</v>
      </c>
      <c r="K5185" t="s">
        <v>457</v>
      </c>
      <c r="L5185" s="1">
        <v>8.32</v>
      </c>
    </row>
    <row r="5186" spans="1:12">
      <c r="A5186" t="s">
        <v>5098</v>
      </c>
      <c r="B5186">
        <v>414588</v>
      </c>
      <c r="C5186" s="2" t="str">
        <f>"667"</f>
        <v>667</v>
      </c>
      <c r="D5186" t="s">
        <v>5296</v>
      </c>
      <c r="E5186" t="s">
        <v>4</v>
      </c>
      <c r="F5186">
        <v>0.36</v>
      </c>
      <c r="G5186">
        <v>0.03</v>
      </c>
      <c r="H5186" t="s">
        <v>106</v>
      </c>
      <c r="I5186" s="1">
        <v>0.65</v>
      </c>
      <c r="J5186" s="1">
        <v>0.65</v>
      </c>
      <c r="K5186" t="s">
        <v>457</v>
      </c>
      <c r="L5186" s="1">
        <v>0.72</v>
      </c>
    </row>
    <row r="5187" spans="1:12">
      <c r="A5187" t="s">
        <v>5098</v>
      </c>
      <c r="B5187">
        <v>402830</v>
      </c>
      <c r="C5187" s="2" t="str">
        <f>"66A"</f>
        <v>66A</v>
      </c>
      <c r="D5187" t="s">
        <v>5297</v>
      </c>
      <c r="E5187" t="s">
        <v>4</v>
      </c>
      <c r="F5187">
        <v>21</v>
      </c>
      <c r="H5187" t="s">
        <v>5</v>
      </c>
      <c r="I5187" s="1">
        <v>58.24</v>
      </c>
      <c r="J5187" s="1">
        <v>58.24</v>
      </c>
      <c r="K5187" t="s">
        <v>6</v>
      </c>
    </row>
    <row r="5188" spans="1:12">
      <c r="A5188" t="s">
        <v>5098</v>
      </c>
      <c r="B5188">
        <v>413301</v>
      </c>
      <c r="C5188" s="2" t="str">
        <f>"67"</f>
        <v>67</v>
      </c>
      <c r="D5188" t="s">
        <v>5298</v>
      </c>
      <c r="E5188" t="s">
        <v>4</v>
      </c>
      <c r="F5188">
        <v>1</v>
      </c>
      <c r="H5188" t="s">
        <v>5</v>
      </c>
      <c r="I5188" s="1">
        <v>2.86</v>
      </c>
      <c r="J5188" s="1">
        <v>2.86</v>
      </c>
      <c r="K5188" t="s">
        <v>6</v>
      </c>
    </row>
    <row r="5189" spans="1:12">
      <c r="A5189" t="s">
        <v>5098</v>
      </c>
      <c r="B5189">
        <v>438828</v>
      </c>
      <c r="C5189" s="2" t="str">
        <f>"671"</f>
        <v>671</v>
      </c>
      <c r="D5189" t="s">
        <v>5299</v>
      </c>
      <c r="E5189" t="s">
        <v>4</v>
      </c>
      <c r="F5189">
        <v>0.66</v>
      </c>
      <c r="H5189" t="s">
        <v>5</v>
      </c>
      <c r="I5189" s="1">
        <v>8.19</v>
      </c>
      <c r="J5189" s="1">
        <v>8.19</v>
      </c>
      <c r="K5189" t="s">
        <v>6</v>
      </c>
    </row>
    <row r="5190" spans="1:12">
      <c r="A5190" t="s">
        <v>5098</v>
      </c>
      <c r="B5190">
        <v>380420</v>
      </c>
      <c r="C5190" s="2" t="str">
        <f>"708"</f>
        <v>708</v>
      </c>
      <c r="D5190" t="s">
        <v>5300</v>
      </c>
      <c r="E5190" t="s">
        <v>4</v>
      </c>
      <c r="F5190">
        <v>16.2</v>
      </c>
      <c r="G5190">
        <v>1.35</v>
      </c>
      <c r="H5190" t="s">
        <v>106</v>
      </c>
      <c r="I5190" s="1">
        <v>8.84</v>
      </c>
      <c r="J5190" s="1">
        <v>8.84</v>
      </c>
      <c r="K5190" t="s">
        <v>457</v>
      </c>
      <c r="L5190" s="1">
        <v>9.7200000000000006</v>
      </c>
    </row>
    <row r="5191" spans="1:12">
      <c r="A5191" t="s">
        <v>5098</v>
      </c>
      <c r="B5191">
        <v>380424</v>
      </c>
      <c r="C5191" s="2" t="str">
        <f>"713"</f>
        <v>713</v>
      </c>
      <c r="D5191" t="s">
        <v>5301</v>
      </c>
      <c r="E5191" t="s">
        <v>4</v>
      </c>
      <c r="F5191">
        <v>23.04</v>
      </c>
      <c r="G5191">
        <v>1.92</v>
      </c>
      <c r="H5191" t="s">
        <v>106</v>
      </c>
      <c r="I5191" s="1">
        <v>13.39</v>
      </c>
      <c r="J5191" s="1">
        <v>13.39</v>
      </c>
      <c r="K5191" t="s">
        <v>457</v>
      </c>
      <c r="L5191" s="1">
        <v>14.73</v>
      </c>
    </row>
    <row r="5192" spans="1:12">
      <c r="A5192" t="s">
        <v>5098</v>
      </c>
      <c r="B5192">
        <v>480133</v>
      </c>
      <c r="C5192" s="2" t="str">
        <f>"714CH"</f>
        <v>714CH</v>
      </c>
      <c r="D5192" t="s">
        <v>5302</v>
      </c>
      <c r="E5192" t="s">
        <v>4</v>
      </c>
      <c r="F5192">
        <v>16</v>
      </c>
      <c r="H5192" t="s">
        <v>5</v>
      </c>
      <c r="I5192" s="1">
        <v>65.52</v>
      </c>
      <c r="J5192" s="1">
        <v>65.52</v>
      </c>
      <c r="K5192" t="s">
        <v>6</v>
      </c>
    </row>
    <row r="5193" spans="1:12">
      <c r="A5193" t="s">
        <v>5098</v>
      </c>
      <c r="B5193">
        <v>380430</v>
      </c>
      <c r="C5193" s="2" t="str">
        <f>"721"</f>
        <v>721</v>
      </c>
      <c r="D5193" t="s">
        <v>5303</v>
      </c>
      <c r="E5193" t="s">
        <v>4</v>
      </c>
      <c r="F5193">
        <v>1.32</v>
      </c>
      <c r="G5193">
        <v>0.11</v>
      </c>
      <c r="H5193" t="s">
        <v>106</v>
      </c>
      <c r="I5193" s="1">
        <v>1.01</v>
      </c>
      <c r="J5193" s="1">
        <v>1.01</v>
      </c>
      <c r="K5193" t="s">
        <v>457</v>
      </c>
      <c r="L5193" s="1">
        <v>1.1200000000000001</v>
      </c>
    </row>
    <row r="5194" spans="1:12">
      <c r="A5194" t="s">
        <v>5098</v>
      </c>
      <c r="B5194">
        <v>397426</v>
      </c>
      <c r="C5194" s="2" t="str">
        <f>"722"</f>
        <v>722</v>
      </c>
      <c r="D5194" t="s">
        <v>5304</v>
      </c>
      <c r="E5194" t="s">
        <v>4</v>
      </c>
      <c r="F5194">
        <v>2.04</v>
      </c>
      <c r="G5194">
        <v>0.17</v>
      </c>
      <c r="H5194" t="s">
        <v>106</v>
      </c>
      <c r="I5194" s="1">
        <v>4.88</v>
      </c>
      <c r="J5194" s="1">
        <v>4.88</v>
      </c>
      <c r="K5194" t="s">
        <v>1866</v>
      </c>
      <c r="L5194" s="1">
        <v>5.36</v>
      </c>
    </row>
    <row r="5195" spans="1:12">
      <c r="A5195" t="s">
        <v>5098</v>
      </c>
      <c r="B5195">
        <v>380434</v>
      </c>
      <c r="C5195" s="2" t="str">
        <f>"724"</f>
        <v>724</v>
      </c>
      <c r="D5195" t="s">
        <v>5305</v>
      </c>
      <c r="E5195" t="s">
        <v>4</v>
      </c>
      <c r="F5195">
        <v>5.04</v>
      </c>
      <c r="G5195">
        <v>0.42</v>
      </c>
      <c r="H5195" t="s">
        <v>106</v>
      </c>
      <c r="I5195" s="1">
        <v>3.28</v>
      </c>
      <c r="J5195" s="1">
        <v>3.28</v>
      </c>
      <c r="K5195" t="s">
        <v>457</v>
      </c>
      <c r="L5195" s="1">
        <v>3.6</v>
      </c>
    </row>
    <row r="5196" spans="1:12">
      <c r="A5196" t="s">
        <v>5098</v>
      </c>
      <c r="B5196">
        <v>454345</v>
      </c>
      <c r="C5196" s="2" t="str">
        <f>"724A"</f>
        <v>724A</v>
      </c>
      <c r="D5196" t="s">
        <v>5306</v>
      </c>
      <c r="E5196" t="s">
        <v>4</v>
      </c>
      <c r="F5196">
        <v>2.4</v>
      </c>
      <c r="G5196">
        <v>0.1</v>
      </c>
      <c r="H5196" t="s">
        <v>666</v>
      </c>
      <c r="I5196" s="1">
        <v>0.92</v>
      </c>
      <c r="J5196" s="1">
        <v>0.92</v>
      </c>
      <c r="K5196" t="s">
        <v>457</v>
      </c>
      <c r="L5196" s="1">
        <v>1.02</v>
      </c>
    </row>
    <row r="5197" spans="1:12">
      <c r="A5197" t="s">
        <v>5098</v>
      </c>
      <c r="B5197">
        <v>454344</v>
      </c>
      <c r="C5197" s="2" t="str">
        <f>"724C"</f>
        <v>724C</v>
      </c>
      <c r="D5197" t="s">
        <v>5307</v>
      </c>
      <c r="E5197" t="s">
        <v>4</v>
      </c>
      <c r="F5197">
        <v>2.88</v>
      </c>
      <c r="G5197">
        <v>0.12</v>
      </c>
      <c r="H5197" t="s">
        <v>666</v>
      </c>
      <c r="I5197" s="1">
        <v>1.05</v>
      </c>
      <c r="J5197" s="1">
        <v>1.05</v>
      </c>
      <c r="K5197" t="s">
        <v>457</v>
      </c>
      <c r="L5197" s="1">
        <v>1.1599999999999999</v>
      </c>
    </row>
    <row r="5198" spans="1:12">
      <c r="A5198" t="s">
        <v>5098</v>
      </c>
      <c r="B5198">
        <v>496978</v>
      </c>
      <c r="C5198" s="2" t="str">
        <f>"748A"</f>
        <v>748A</v>
      </c>
      <c r="D5198" t="s">
        <v>5308</v>
      </c>
      <c r="E5198" t="s">
        <v>4</v>
      </c>
      <c r="F5198">
        <v>3</v>
      </c>
      <c r="H5198" t="s">
        <v>5</v>
      </c>
      <c r="I5198" s="1">
        <v>48.67</v>
      </c>
      <c r="J5198" s="1">
        <v>48.67</v>
      </c>
      <c r="K5198" t="s">
        <v>6</v>
      </c>
    </row>
    <row r="5199" spans="1:12">
      <c r="A5199" t="s">
        <v>5098</v>
      </c>
      <c r="B5199">
        <v>380474</v>
      </c>
      <c r="C5199" s="2" t="str">
        <f>"76"</f>
        <v>76</v>
      </c>
      <c r="D5199" t="s">
        <v>5309</v>
      </c>
      <c r="E5199" t="s">
        <v>4</v>
      </c>
      <c r="F5199">
        <v>3</v>
      </c>
      <c r="G5199">
        <v>0.25</v>
      </c>
      <c r="H5199" t="s">
        <v>106</v>
      </c>
      <c r="I5199" s="1">
        <v>2.0099999999999998</v>
      </c>
      <c r="J5199" s="1">
        <v>2.0099999999999998</v>
      </c>
      <c r="K5199" t="s">
        <v>21</v>
      </c>
      <c r="L5199" s="1">
        <v>2.21</v>
      </c>
    </row>
    <row r="5200" spans="1:12">
      <c r="A5200" t="s">
        <v>5098</v>
      </c>
      <c r="B5200">
        <v>380475</v>
      </c>
      <c r="C5200" s="2" t="str">
        <f>"77"</f>
        <v>77</v>
      </c>
      <c r="D5200" t="s">
        <v>5310</v>
      </c>
      <c r="E5200" t="s">
        <v>4</v>
      </c>
      <c r="F5200">
        <v>6</v>
      </c>
      <c r="G5200">
        <v>0.5</v>
      </c>
      <c r="H5200" t="s">
        <v>106</v>
      </c>
      <c r="I5200" s="1">
        <v>2.98</v>
      </c>
      <c r="J5200" s="1">
        <v>2.98</v>
      </c>
      <c r="K5200" t="s">
        <v>21</v>
      </c>
      <c r="L5200" s="1">
        <v>3.28</v>
      </c>
    </row>
    <row r="5201" spans="1:12">
      <c r="A5201" t="s">
        <v>5098</v>
      </c>
      <c r="B5201">
        <v>421450</v>
      </c>
      <c r="C5201" s="2" t="str">
        <f>"79K"</f>
        <v>79K</v>
      </c>
      <c r="D5201" t="s">
        <v>5311</v>
      </c>
      <c r="E5201" t="s">
        <v>4</v>
      </c>
      <c r="F5201">
        <v>19</v>
      </c>
      <c r="H5201" t="s">
        <v>5</v>
      </c>
      <c r="I5201" s="1">
        <v>96.56</v>
      </c>
      <c r="J5201" s="1">
        <v>96.56</v>
      </c>
      <c r="K5201" t="s">
        <v>6</v>
      </c>
    </row>
    <row r="5202" spans="1:12">
      <c r="A5202" t="s">
        <v>5098</v>
      </c>
      <c r="B5202">
        <v>380182</v>
      </c>
      <c r="C5202" s="2" t="str">
        <f>"800-1"</f>
        <v>800-1</v>
      </c>
      <c r="D5202" t="s">
        <v>5312</v>
      </c>
      <c r="E5202" t="s">
        <v>4</v>
      </c>
      <c r="F5202">
        <v>10</v>
      </c>
      <c r="H5202" t="s">
        <v>5</v>
      </c>
      <c r="I5202" s="1">
        <v>20.440000000000001</v>
      </c>
      <c r="J5202" s="1">
        <v>20.440000000000001</v>
      </c>
      <c r="K5202" t="s">
        <v>6</v>
      </c>
    </row>
    <row r="5203" spans="1:12">
      <c r="A5203" t="s">
        <v>5098</v>
      </c>
      <c r="B5203">
        <v>380447</v>
      </c>
      <c r="C5203" s="2" t="str">
        <f>"82"</f>
        <v>82</v>
      </c>
      <c r="D5203" t="s">
        <v>5313</v>
      </c>
      <c r="E5203" t="s">
        <v>4</v>
      </c>
      <c r="F5203">
        <v>8.4</v>
      </c>
      <c r="G5203">
        <v>0.7</v>
      </c>
      <c r="H5203" t="s">
        <v>106</v>
      </c>
      <c r="I5203" s="1">
        <v>3.69</v>
      </c>
      <c r="J5203" s="1">
        <v>3.69</v>
      </c>
      <c r="K5203" t="s">
        <v>457</v>
      </c>
      <c r="L5203" s="1">
        <v>4.0599999999999996</v>
      </c>
    </row>
    <row r="5204" spans="1:12">
      <c r="A5204" t="s">
        <v>5098</v>
      </c>
      <c r="B5204">
        <v>394997</v>
      </c>
      <c r="C5204" s="2" t="str">
        <f>"821"</f>
        <v>821</v>
      </c>
      <c r="D5204" t="s">
        <v>5314</v>
      </c>
      <c r="E5204" t="s">
        <v>4</v>
      </c>
      <c r="F5204">
        <v>3</v>
      </c>
      <c r="H5204" t="s">
        <v>5</v>
      </c>
      <c r="I5204" s="1">
        <v>18.93</v>
      </c>
      <c r="J5204" s="1">
        <v>18.93</v>
      </c>
      <c r="K5204" t="s">
        <v>6</v>
      </c>
    </row>
    <row r="5205" spans="1:12">
      <c r="A5205" t="s">
        <v>5098</v>
      </c>
      <c r="B5205">
        <v>380170</v>
      </c>
      <c r="C5205" s="2" t="str">
        <f>"83S&amp;P"</f>
        <v>83S&amp;P</v>
      </c>
      <c r="D5205" t="s">
        <v>5315</v>
      </c>
      <c r="E5205" t="s">
        <v>4</v>
      </c>
      <c r="F5205">
        <v>7</v>
      </c>
      <c r="H5205" t="s">
        <v>5</v>
      </c>
      <c r="I5205" s="1">
        <v>14.01</v>
      </c>
      <c r="J5205" s="1">
        <v>14.01</v>
      </c>
      <c r="K5205" t="s">
        <v>6</v>
      </c>
    </row>
    <row r="5206" spans="1:12">
      <c r="A5206" t="s">
        <v>5098</v>
      </c>
      <c r="B5206">
        <v>380448</v>
      </c>
      <c r="C5206" s="2" t="str">
        <f>"84"</f>
        <v>84</v>
      </c>
      <c r="D5206" t="s">
        <v>5316</v>
      </c>
      <c r="E5206" t="s">
        <v>4</v>
      </c>
      <c r="F5206">
        <v>7.2</v>
      </c>
      <c r="G5206">
        <v>0.6</v>
      </c>
      <c r="H5206" t="s">
        <v>106</v>
      </c>
      <c r="I5206" s="1">
        <v>4.71</v>
      </c>
      <c r="J5206" s="1">
        <v>4.71</v>
      </c>
      <c r="K5206" t="s">
        <v>457</v>
      </c>
      <c r="L5206" s="1">
        <v>5.18</v>
      </c>
    </row>
    <row r="5207" spans="1:12">
      <c r="A5207" t="s">
        <v>5098</v>
      </c>
      <c r="B5207">
        <v>380449</v>
      </c>
      <c r="C5207" s="2" t="str">
        <f>"87"</f>
        <v>87</v>
      </c>
      <c r="D5207" t="s">
        <v>5317</v>
      </c>
      <c r="E5207" t="s">
        <v>4</v>
      </c>
      <c r="F5207">
        <v>15.24</v>
      </c>
      <c r="G5207">
        <v>1.27</v>
      </c>
      <c r="H5207" t="s">
        <v>106</v>
      </c>
      <c r="I5207" s="1">
        <v>9.41</v>
      </c>
      <c r="J5207" s="1">
        <v>9.41</v>
      </c>
      <c r="K5207" t="s">
        <v>457</v>
      </c>
      <c r="L5207" s="1">
        <v>10.35</v>
      </c>
    </row>
    <row r="5208" spans="1:12">
      <c r="A5208" t="s">
        <v>5098</v>
      </c>
      <c r="B5208">
        <v>443167</v>
      </c>
      <c r="C5208" s="2" t="str">
        <f>"90P"</f>
        <v>90P</v>
      </c>
      <c r="D5208" t="s">
        <v>5318</v>
      </c>
      <c r="E5208" t="s">
        <v>4</v>
      </c>
      <c r="F5208">
        <v>1.48</v>
      </c>
      <c r="G5208">
        <v>0.37</v>
      </c>
      <c r="H5208" t="s">
        <v>153</v>
      </c>
      <c r="I5208" s="1">
        <v>7.96</v>
      </c>
      <c r="J5208" s="1">
        <v>7.96</v>
      </c>
      <c r="K5208" t="s">
        <v>21</v>
      </c>
      <c r="L5208" s="1">
        <v>8.75</v>
      </c>
    </row>
    <row r="5209" spans="1:12">
      <c r="A5209" t="s">
        <v>5098</v>
      </c>
      <c r="B5209">
        <v>436322</v>
      </c>
      <c r="C5209" s="2" t="str">
        <f>"90S"</f>
        <v>90S</v>
      </c>
      <c r="D5209" t="s">
        <v>5319</v>
      </c>
      <c r="E5209" t="s">
        <v>4</v>
      </c>
      <c r="F5209">
        <v>1.48</v>
      </c>
      <c r="G5209">
        <v>0.37</v>
      </c>
      <c r="H5209" t="s">
        <v>153</v>
      </c>
      <c r="I5209" s="1">
        <v>7.96</v>
      </c>
      <c r="J5209" s="1">
        <v>7.96</v>
      </c>
      <c r="K5209" t="s">
        <v>21</v>
      </c>
      <c r="L5209" s="1">
        <v>8.75</v>
      </c>
    </row>
    <row r="5210" spans="1:12">
      <c r="A5210" t="s">
        <v>5098</v>
      </c>
      <c r="B5210">
        <v>397429</v>
      </c>
      <c r="C5210" s="2" t="str">
        <f>"916"</f>
        <v>916</v>
      </c>
      <c r="D5210" t="s">
        <v>5320</v>
      </c>
      <c r="E5210" t="s">
        <v>4</v>
      </c>
      <c r="F5210">
        <v>12</v>
      </c>
      <c r="G5210">
        <v>1</v>
      </c>
      <c r="H5210" t="s">
        <v>106</v>
      </c>
      <c r="I5210" s="1">
        <v>4.99</v>
      </c>
      <c r="J5210" s="1">
        <v>4.99</v>
      </c>
      <c r="K5210" t="s">
        <v>457</v>
      </c>
      <c r="L5210" s="1">
        <v>5.49</v>
      </c>
    </row>
    <row r="5211" spans="1:12">
      <c r="A5211" t="s">
        <v>5098</v>
      </c>
      <c r="B5211">
        <v>380161</v>
      </c>
      <c r="C5211" s="2" t="str">
        <f>"917B"</f>
        <v>917B</v>
      </c>
      <c r="D5211" t="s">
        <v>5321</v>
      </c>
      <c r="E5211" t="s">
        <v>4</v>
      </c>
      <c r="F5211">
        <v>1.24</v>
      </c>
      <c r="H5211" t="s">
        <v>5</v>
      </c>
      <c r="I5211" s="1">
        <v>20.2</v>
      </c>
      <c r="J5211" s="1">
        <v>20.2</v>
      </c>
      <c r="K5211" t="s">
        <v>6</v>
      </c>
    </row>
    <row r="5212" spans="1:12">
      <c r="A5212" t="s">
        <v>5098</v>
      </c>
      <c r="B5212">
        <v>380476</v>
      </c>
      <c r="C5212" s="2" t="str">
        <f>"95"</f>
        <v>95</v>
      </c>
      <c r="D5212" t="s">
        <v>5322</v>
      </c>
      <c r="E5212" t="s">
        <v>4</v>
      </c>
      <c r="F5212">
        <v>0.35</v>
      </c>
      <c r="H5212" t="s">
        <v>5</v>
      </c>
      <c r="I5212" s="1">
        <v>4.7699999999999996</v>
      </c>
      <c r="J5212" s="1">
        <v>4.7699999999999996</v>
      </c>
      <c r="K5212" t="s">
        <v>6</v>
      </c>
    </row>
    <row r="5213" spans="1:12">
      <c r="A5213" t="s">
        <v>5098</v>
      </c>
      <c r="B5213">
        <v>380223</v>
      </c>
      <c r="C5213" s="2" t="str">
        <f>"953"</f>
        <v>953</v>
      </c>
      <c r="D5213" t="s">
        <v>5323</v>
      </c>
      <c r="E5213" t="s">
        <v>4</v>
      </c>
      <c r="F5213">
        <v>5</v>
      </c>
      <c r="H5213" t="s">
        <v>5</v>
      </c>
      <c r="I5213" s="1">
        <v>39.31</v>
      </c>
      <c r="J5213" s="1">
        <v>39.31</v>
      </c>
      <c r="K5213" t="s">
        <v>6</v>
      </c>
    </row>
    <row r="5214" spans="1:12">
      <c r="A5214" t="s">
        <v>5098</v>
      </c>
      <c r="B5214">
        <v>429450</v>
      </c>
      <c r="C5214" s="2" t="str">
        <f>"953F"</f>
        <v>953F</v>
      </c>
      <c r="D5214" t="s">
        <v>5324</v>
      </c>
      <c r="E5214" t="s">
        <v>4</v>
      </c>
      <c r="F5214">
        <v>0.08</v>
      </c>
      <c r="H5214" t="s">
        <v>5</v>
      </c>
      <c r="I5214" s="1">
        <v>10.32</v>
      </c>
      <c r="J5214" s="1">
        <v>10.32</v>
      </c>
      <c r="K5214" t="s">
        <v>6</v>
      </c>
    </row>
    <row r="5215" spans="1:12">
      <c r="A5215" t="s">
        <v>5098</v>
      </c>
      <c r="B5215">
        <v>380222</v>
      </c>
      <c r="C5215" s="2" t="str">
        <f>"955"</f>
        <v>955</v>
      </c>
      <c r="D5215" t="s">
        <v>5325</v>
      </c>
      <c r="E5215" t="s">
        <v>4</v>
      </c>
      <c r="F5215">
        <v>5</v>
      </c>
      <c r="H5215" t="s">
        <v>5</v>
      </c>
      <c r="I5215" s="1">
        <v>39.31</v>
      </c>
      <c r="J5215" s="1">
        <v>39.31</v>
      </c>
      <c r="K5215" t="s">
        <v>6</v>
      </c>
    </row>
    <row r="5216" spans="1:12">
      <c r="A5216" t="s">
        <v>5098</v>
      </c>
      <c r="B5216">
        <v>380450</v>
      </c>
      <c r="C5216" s="2" t="str">
        <f>"96"</f>
        <v>96</v>
      </c>
      <c r="D5216" t="s">
        <v>5326</v>
      </c>
      <c r="E5216" t="s">
        <v>4</v>
      </c>
      <c r="F5216">
        <v>5.04</v>
      </c>
      <c r="G5216">
        <v>0.42</v>
      </c>
      <c r="H5216" t="s">
        <v>106</v>
      </c>
      <c r="I5216" s="1">
        <v>3.55</v>
      </c>
      <c r="J5216" s="1">
        <v>3.55</v>
      </c>
      <c r="K5216" t="s">
        <v>457</v>
      </c>
      <c r="L5216" s="1">
        <v>3.9</v>
      </c>
    </row>
    <row r="5217" spans="1:12">
      <c r="A5217" t="s">
        <v>5098</v>
      </c>
      <c r="B5217">
        <v>380162</v>
      </c>
      <c r="C5217" s="2" t="str">
        <f>"975B"</f>
        <v>975B</v>
      </c>
      <c r="D5217" t="s">
        <v>5327</v>
      </c>
      <c r="E5217" t="s">
        <v>4</v>
      </c>
      <c r="F5217">
        <v>1.74</v>
      </c>
      <c r="H5217" t="s">
        <v>5</v>
      </c>
      <c r="I5217" s="1">
        <v>24.1</v>
      </c>
      <c r="J5217" s="1">
        <v>24.1</v>
      </c>
      <c r="K5217" t="s">
        <v>6</v>
      </c>
    </row>
    <row r="5218" spans="1:12">
      <c r="A5218" t="s">
        <v>5098</v>
      </c>
      <c r="B5218">
        <v>380451</v>
      </c>
      <c r="C5218" s="2" t="str">
        <f>"98"</f>
        <v>98</v>
      </c>
      <c r="D5218" t="s">
        <v>5328</v>
      </c>
      <c r="E5218" t="s">
        <v>4</v>
      </c>
      <c r="F5218">
        <v>7.8</v>
      </c>
      <c r="G5218">
        <v>0.65</v>
      </c>
      <c r="H5218" t="s">
        <v>106</v>
      </c>
      <c r="I5218" s="1">
        <v>4.58</v>
      </c>
      <c r="J5218" s="1">
        <v>4.58</v>
      </c>
      <c r="K5218" t="s">
        <v>457</v>
      </c>
      <c r="L5218" s="1">
        <v>5.03</v>
      </c>
    </row>
    <row r="5219" spans="1:12">
      <c r="A5219" t="s">
        <v>5098</v>
      </c>
      <c r="B5219">
        <v>476692</v>
      </c>
      <c r="C5219" s="2" t="str">
        <f>"985"</f>
        <v>985</v>
      </c>
      <c r="D5219" t="s">
        <v>5329</v>
      </c>
      <c r="E5219" t="s">
        <v>4</v>
      </c>
      <c r="F5219">
        <v>2.82</v>
      </c>
      <c r="G5219">
        <v>1.41</v>
      </c>
      <c r="H5219" t="s">
        <v>175</v>
      </c>
      <c r="I5219" s="1">
        <v>23.8</v>
      </c>
      <c r="J5219" s="1">
        <v>23.8</v>
      </c>
      <c r="K5219" t="s">
        <v>21</v>
      </c>
      <c r="L5219" s="1">
        <v>26.18</v>
      </c>
    </row>
    <row r="5220" spans="1:12">
      <c r="A5220" t="s">
        <v>5098</v>
      </c>
      <c r="B5220">
        <v>476693</v>
      </c>
      <c r="C5220" s="2" t="str">
        <f>"986"</f>
        <v>986</v>
      </c>
      <c r="D5220" t="s">
        <v>5330</v>
      </c>
      <c r="E5220" t="s">
        <v>4</v>
      </c>
      <c r="F5220">
        <v>3.7</v>
      </c>
      <c r="G5220">
        <v>1.85</v>
      </c>
      <c r="H5220" t="s">
        <v>175</v>
      </c>
      <c r="I5220" s="1">
        <v>27.38</v>
      </c>
      <c r="J5220" s="1">
        <v>27.38</v>
      </c>
      <c r="K5220" t="s">
        <v>21</v>
      </c>
      <c r="L5220" s="1">
        <v>30.12</v>
      </c>
    </row>
    <row r="5221" spans="1:12">
      <c r="A5221" t="s">
        <v>5098</v>
      </c>
      <c r="B5221">
        <v>476694</v>
      </c>
      <c r="C5221" s="2" t="str">
        <f>"987"</f>
        <v>987</v>
      </c>
      <c r="D5221" t="s">
        <v>5331</v>
      </c>
      <c r="E5221" t="s">
        <v>4</v>
      </c>
      <c r="F5221">
        <v>4.8</v>
      </c>
      <c r="G5221">
        <v>2.4</v>
      </c>
      <c r="H5221" t="s">
        <v>175</v>
      </c>
      <c r="I5221" s="1">
        <v>32.14</v>
      </c>
      <c r="J5221" s="1">
        <v>32.14</v>
      </c>
      <c r="K5221" t="s">
        <v>21</v>
      </c>
      <c r="L5221" s="1">
        <v>35.35</v>
      </c>
    </row>
    <row r="5222" spans="1:12">
      <c r="A5222" t="s">
        <v>5098</v>
      </c>
      <c r="B5222">
        <v>476695</v>
      </c>
      <c r="C5222" s="2" t="str">
        <f>"988"</f>
        <v>988</v>
      </c>
      <c r="D5222" t="s">
        <v>5332</v>
      </c>
      <c r="E5222" t="s">
        <v>4</v>
      </c>
      <c r="F5222">
        <v>5</v>
      </c>
      <c r="G5222">
        <v>2.5</v>
      </c>
      <c r="H5222" t="s">
        <v>175</v>
      </c>
      <c r="I5222" s="1">
        <v>35.36</v>
      </c>
      <c r="J5222" s="1">
        <v>35.36</v>
      </c>
      <c r="K5222" t="s">
        <v>21</v>
      </c>
      <c r="L5222" s="1">
        <v>38.9</v>
      </c>
    </row>
    <row r="5223" spans="1:12">
      <c r="A5223" t="s">
        <v>5098</v>
      </c>
      <c r="B5223">
        <v>380452</v>
      </c>
      <c r="C5223" s="2" t="str">
        <f>"99"</f>
        <v>99</v>
      </c>
      <c r="D5223" t="s">
        <v>5333</v>
      </c>
      <c r="E5223" t="s">
        <v>4</v>
      </c>
      <c r="F5223">
        <v>15</v>
      </c>
      <c r="G5223">
        <v>1.25</v>
      </c>
      <c r="H5223" t="s">
        <v>106</v>
      </c>
      <c r="I5223" s="1">
        <v>9.23</v>
      </c>
      <c r="J5223" s="1">
        <v>9.23</v>
      </c>
      <c r="K5223" t="s">
        <v>457</v>
      </c>
      <c r="L5223" s="1">
        <v>10.15</v>
      </c>
    </row>
    <row r="5224" spans="1:12">
      <c r="A5224" t="s">
        <v>5098</v>
      </c>
      <c r="B5224">
        <v>397392</v>
      </c>
      <c r="C5224" s="2" t="str">
        <f>"B14-49"</f>
        <v>B14-49</v>
      </c>
      <c r="D5224" t="s">
        <v>5334</v>
      </c>
      <c r="E5224" t="s">
        <v>4</v>
      </c>
      <c r="F5224">
        <v>3</v>
      </c>
      <c r="G5224">
        <v>0.5</v>
      </c>
      <c r="H5224" t="s">
        <v>20</v>
      </c>
      <c r="I5224" s="1">
        <v>32.6</v>
      </c>
      <c r="J5224" s="1">
        <v>32.6</v>
      </c>
      <c r="K5224" t="s">
        <v>1274</v>
      </c>
      <c r="L5224" s="1">
        <v>35.86</v>
      </c>
    </row>
    <row r="5225" spans="1:12">
      <c r="A5225" t="s">
        <v>5098</v>
      </c>
      <c r="B5225">
        <v>380186</v>
      </c>
      <c r="C5225" s="2" t="str">
        <f>"B3650"</f>
        <v>B3650</v>
      </c>
      <c r="D5225" t="s">
        <v>5335</v>
      </c>
      <c r="E5225" t="s">
        <v>4</v>
      </c>
      <c r="F5225">
        <v>15</v>
      </c>
      <c r="H5225" t="s">
        <v>5</v>
      </c>
      <c r="I5225" s="1">
        <v>56.16</v>
      </c>
      <c r="J5225" s="1">
        <v>56.16</v>
      </c>
      <c r="K5225" t="s">
        <v>6</v>
      </c>
    </row>
    <row r="5226" spans="1:12">
      <c r="A5226" t="s">
        <v>5098</v>
      </c>
      <c r="B5226">
        <v>482802</v>
      </c>
      <c r="C5226" s="2" t="str">
        <f>"BK17209"</f>
        <v>BK17209</v>
      </c>
      <c r="D5226" t="s">
        <v>5336</v>
      </c>
      <c r="E5226" t="s">
        <v>4</v>
      </c>
      <c r="F5226">
        <v>5.25</v>
      </c>
      <c r="H5226" t="s">
        <v>5</v>
      </c>
      <c r="I5226" s="1">
        <v>32.29</v>
      </c>
      <c r="J5226" s="1">
        <v>32.29</v>
      </c>
      <c r="K5226" t="s">
        <v>6</v>
      </c>
    </row>
    <row r="5227" spans="1:12">
      <c r="A5227" t="s">
        <v>5098</v>
      </c>
      <c r="B5227">
        <v>482799</v>
      </c>
      <c r="C5227" s="2" t="str">
        <f>"BK17409"</f>
        <v>BK17409</v>
      </c>
      <c r="D5227" t="s">
        <v>5337</v>
      </c>
      <c r="E5227" t="s">
        <v>4</v>
      </c>
      <c r="F5227">
        <v>4.99</v>
      </c>
      <c r="H5227" t="s">
        <v>5</v>
      </c>
      <c r="I5227" s="1">
        <v>25.74</v>
      </c>
      <c r="J5227" s="1">
        <v>25.74</v>
      </c>
      <c r="K5227" t="s">
        <v>6</v>
      </c>
    </row>
    <row r="5228" spans="1:12">
      <c r="A5228" t="s">
        <v>5098</v>
      </c>
      <c r="B5228">
        <v>482798</v>
      </c>
      <c r="C5228" s="2" t="str">
        <f>"BK17410"</f>
        <v>BK17410</v>
      </c>
      <c r="D5228" t="s">
        <v>5338</v>
      </c>
      <c r="E5228" t="s">
        <v>4</v>
      </c>
      <c r="F5228">
        <v>5.49</v>
      </c>
      <c r="H5228" t="s">
        <v>5</v>
      </c>
      <c r="I5228" s="1">
        <v>34.79</v>
      </c>
      <c r="J5228" s="1">
        <v>34.79</v>
      </c>
      <c r="K5228" t="s">
        <v>6</v>
      </c>
    </row>
    <row r="5229" spans="1:12">
      <c r="A5229" t="s">
        <v>5098</v>
      </c>
      <c r="B5229">
        <v>482803</v>
      </c>
      <c r="C5229" s="2" t="str">
        <f>"BK17508"</f>
        <v>BK17508</v>
      </c>
      <c r="D5229" t="s">
        <v>5339</v>
      </c>
      <c r="E5229" t="s">
        <v>4</v>
      </c>
      <c r="F5229">
        <v>4.5</v>
      </c>
      <c r="H5229" t="s">
        <v>5</v>
      </c>
      <c r="I5229" s="1">
        <v>29.33</v>
      </c>
      <c r="J5229" s="1">
        <v>29.33</v>
      </c>
      <c r="K5229" t="s">
        <v>6</v>
      </c>
    </row>
    <row r="5230" spans="1:12">
      <c r="A5230" t="s">
        <v>5098</v>
      </c>
      <c r="B5230">
        <v>482801</v>
      </c>
      <c r="C5230" s="2" t="str">
        <f>"BK2679"</f>
        <v>BK2679</v>
      </c>
      <c r="D5230" t="s">
        <v>5340</v>
      </c>
      <c r="E5230" t="s">
        <v>4</v>
      </c>
      <c r="F5230">
        <v>2.58</v>
      </c>
      <c r="H5230" t="s">
        <v>5</v>
      </c>
      <c r="I5230" s="1">
        <v>21.16</v>
      </c>
      <c r="J5230" s="1">
        <v>21.16</v>
      </c>
      <c r="K5230" t="s">
        <v>6</v>
      </c>
    </row>
    <row r="5231" spans="1:12">
      <c r="A5231" t="s">
        <v>5098</v>
      </c>
      <c r="B5231">
        <v>482800</v>
      </c>
      <c r="C5231" s="2" t="str">
        <f>"BK267912"</f>
        <v>BK267912</v>
      </c>
      <c r="D5231" t="s">
        <v>5341</v>
      </c>
      <c r="E5231" t="s">
        <v>4</v>
      </c>
      <c r="F5231">
        <v>2.75</v>
      </c>
      <c r="H5231" t="s">
        <v>5</v>
      </c>
      <c r="I5231" s="1">
        <v>19.920000000000002</v>
      </c>
      <c r="J5231" s="1">
        <v>19.920000000000002</v>
      </c>
      <c r="K5231" t="s">
        <v>6</v>
      </c>
    </row>
    <row r="5232" spans="1:12">
      <c r="A5232" t="s">
        <v>5098</v>
      </c>
      <c r="B5232">
        <v>380187</v>
      </c>
      <c r="C5232" s="2" t="str">
        <f>"BT3650"</f>
        <v>BT3650</v>
      </c>
      <c r="D5232" t="s">
        <v>5342</v>
      </c>
      <c r="E5232" t="s">
        <v>4</v>
      </c>
      <c r="F5232">
        <v>1</v>
      </c>
      <c r="H5232" t="s">
        <v>5</v>
      </c>
      <c r="I5232" s="1">
        <v>4.68</v>
      </c>
      <c r="J5232" s="1">
        <v>4.68</v>
      </c>
      <c r="K5232" t="s">
        <v>6</v>
      </c>
    </row>
    <row r="5233" spans="1:12">
      <c r="A5233" t="s">
        <v>5098</v>
      </c>
      <c r="B5233">
        <v>423796</v>
      </c>
      <c r="C5233" s="2" t="str">
        <f>"C154-12"</f>
        <v>C154-12</v>
      </c>
      <c r="D5233" t="s">
        <v>5343</v>
      </c>
      <c r="E5233" t="s">
        <v>4</v>
      </c>
      <c r="F5233">
        <v>13</v>
      </c>
      <c r="H5233" t="s">
        <v>5</v>
      </c>
      <c r="I5233" s="1">
        <v>59.8</v>
      </c>
      <c r="J5233" s="1">
        <v>59.8</v>
      </c>
      <c r="K5233" t="s">
        <v>6</v>
      </c>
    </row>
    <row r="5234" spans="1:12">
      <c r="A5234" t="s">
        <v>5098</v>
      </c>
      <c r="B5234">
        <v>423795</v>
      </c>
      <c r="C5234" s="2" t="str">
        <f>"C155-12"</f>
        <v>C155-12</v>
      </c>
      <c r="D5234" t="s">
        <v>5344</v>
      </c>
      <c r="E5234" t="s">
        <v>4</v>
      </c>
      <c r="F5234">
        <v>10.45</v>
      </c>
      <c r="H5234" t="s">
        <v>5</v>
      </c>
      <c r="I5234" s="1">
        <v>38.69</v>
      </c>
      <c r="J5234" s="1">
        <v>38.69</v>
      </c>
      <c r="K5234" t="s">
        <v>6</v>
      </c>
    </row>
    <row r="5235" spans="1:12">
      <c r="A5235" t="s">
        <v>5098</v>
      </c>
      <c r="B5235">
        <v>423846</v>
      </c>
      <c r="C5235" s="2" t="str">
        <f>"C260-4"</f>
        <v>C260-4</v>
      </c>
      <c r="D5235" t="s">
        <v>5345</v>
      </c>
      <c r="E5235" t="s">
        <v>4</v>
      </c>
      <c r="F5235">
        <v>9.1999999999999993</v>
      </c>
      <c r="H5235" t="s">
        <v>5</v>
      </c>
      <c r="I5235" s="1">
        <v>34.630000000000003</v>
      </c>
      <c r="J5235" s="1">
        <v>34.630000000000003</v>
      </c>
      <c r="K5235" t="s">
        <v>6</v>
      </c>
    </row>
    <row r="5236" spans="1:12">
      <c r="A5236" t="s">
        <v>5098</v>
      </c>
      <c r="B5236">
        <v>423838</v>
      </c>
      <c r="C5236" s="2" t="str">
        <f>"C263B-1"</f>
        <v>C263B-1</v>
      </c>
      <c r="D5236" t="s">
        <v>5346</v>
      </c>
      <c r="E5236" t="s">
        <v>4</v>
      </c>
      <c r="F5236">
        <v>14</v>
      </c>
      <c r="H5236" t="s">
        <v>5</v>
      </c>
      <c r="I5236" s="1">
        <v>55.85</v>
      </c>
      <c r="J5236" s="1">
        <v>55.85</v>
      </c>
      <c r="K5236" t="s">
        <v>6</v>
      </c>
    </row>
    <row r="5237" spans="1:12">
      <c r="A5237" t="s">
        <v>5098</v>
      </c>
      <c r="B5237">
        <v>423793</v>
      </c>
      <c r="C5237" s="2" t="str">
        <f>"C406-4"</f>
        <v>C406-4</v>
      </c>
      <c r="D5237" t="s">
        <v>5347</v>
      </c>
      <c r="E5237" t="s">
        <v>4</v>
      </c>
      <c r="F5237">
        <v>9.8000000000000007</v>
      </c>
      <c r="H5237" t="s">
        <v>5</v>
      </c>
      <c r="I5237" s="1">
        <v>97.97</v>
      </c>
      <c r="J5237" s="1">
        <v>97.97</v>
      </c>
      <c r="K5237" t="s">
        <v>6</v>
      </c>
    </row>
    <row r="5238" spans="1:12">
      <c r="A5238" t="s">
        <v>5098</v>
      </c>
      <c r="B5238">
        <v>423847</v>
      </c>
      <c r="C5238" s="2" t="str">
        <f>"C57S-4"</f>
        <v>C57S-4</v>
      </c>
      <c r="D5238" t="s">
        <v>5348</v>
      </c>
      <c r="E5238" t="s">
        <v>4</v>
      </c>
      <c r="F5238">
        <v>16</v>
      </c>
      <c r="H5238" t="s">
        <v>5</v>
      </c>
      <c r="I5238" s="1">
        <v>35.26</v>
      </c>
      <c r="J5238" s="1">
        <v>35.26</v>
      </c>
      <c r="K5238" t="s">
        <v>6</v>
      </c>
    </row>
    <row r="5239" spans="1:12">
      <c r="A5239" t="s">
        <v>5098</v>
      </c>
      <c r="B5239">
        <v>423848</v>
      </c>
      <c r="C5239" s="2" t="str">
        <f>"C600-4"</f>
        <v>C600-4</v>
      </c>
      <c r="D5239" t="s">
        <v>5349</v>
      </c>
      <c r="E5239" t="s">
        <v>4</v>
      </c>
      <c r="F5239">
        <v>8</v>
      </c>
      <c r="H5239" t="s">
        <v>5</v>
      </c>
      <c r="I5239" s="1">
        <v>33.07</v>
      </c>
      <c r="J5239" s="1">
        <v>33.07</v>
      </c>
      <c r="K5239" t="s">
        <v>6</v>
      </c>
    </row>
    <row r="5240" spans="1:12">
      <c r="A5240" t="s">
        <v>5098</v>
      </c>
      <c r="B5240">
        <v>423798</v>
      </c>
      <c r="C5240" s="2" t="str">
        <f>"C83-12"</f>
        <v>C83-12</v>
      </c>
      <c r="D5240" t="s">
        <v>5350</v>
      </c>
      <c r="E5240" t="s">
        <v>4</v>
      </c>
      <c r="F5240">
        <v>12</v>
      </c>
      <c r="H5240" t="s">
        <v>5</v>
      </c>
      <c r="I5240" s="1">
        <v>35.36</v>
      </c>
      <c r="J5240" s="1">
        <v>35.36</v>
      </c>
      <c r="K5240" t="s">
        <v>6</v>
      </c>
    </row>
    <row r="5241" spans="1:12">
      <c r="A5241" t="s">
        <v>5098</v>
      </c>
      <c r="B5241">
        <v>476680</v>
      </c>
      <c r="C5241" s="2" t="str">
        <f>"CB1218WA"</f>
        <v>CB1218WA</v>
      </c>
      <c r="D5241" t="s">
        <v>5351</v>
      </c>
      <c r="E5241" t="s">
        <v>4</v>
      </c>
      <c r="F5241">
        <v>21.96</v>
      </c>
      <c r="G5241">
        <v>3.66</v>
      </c>
      <c r="H5241" t="s">
        <v>20</v>
      </c>
      <c r="I5241" s="1">
        <v>9.3699999999999992</v>
      </c>
      <c r="J5241" s="1">
        <v>9.3699999999999992</v>
      </c>
      <c r="K5241" t="s">
        <v>21</v>
      </c>
      <c r="L5241" s="1">
        <v>10.31</v>
      </c>
    </row>
    <row r="5242" spans="1:12">
      <c r="A5242" t="s">
        <v>5098</v>
      </c>
      <c r="B5242">
        <v>476682</v>
      </c>
      <c r="C5242" s="2" t="str">
        <f>"CB1520WA"</f>
        <v>CB1520WA</v>
      </c>
      <c r="D5242" t="s">
        <v>5351</v>
      </c>
      <c r="E5242" t="s">
        <v>4</v>
      </c>
      <c r="F5242">
        <v>30.96</v>
      </c>
      <c r="G5242">
        <v>5.16</v>
      </c>
      <c r="H5242" t="s">
        <v>20</v>
      </c>
      <c r="I5242" s="1">
        <v>12.84</v>
      </c>
      <c r="J5242" s="1">
        <v>12.84</v>
      </c>
      <c r="K5242" t="s">
        <v>21</v>
      </c>
      <c r="L5242" s="1">
        <v>14.13</v>
      </c>
    </row>
    <row r="5243" spans="1:12">
      <c r="A5243" t="s">
        <v>5098</v>
      </c>
      <c r="B5243">
        <v>476684</v>
      </c>
      <c r="C5243" s="2" t="str">
        <f>"CB1824WA"</f>
        <v>CB1824WA</v>
      </c>
      <c r="D5243" t="s">
        <v>5351</v>
      </c>
      <c r="E5243" t="s">
        <v>4</v>
      </c>
      <c r="F5243">
        <v>45</v>
      </c>
      <c r="G5243">
        <v>7.5</v>
      </c>
      <c r="H5243" t="s">
        <v>20</v>
      </c>
      <c r="I5243" s="1">
        <v>19.239999999999998</v>
      </c>
      <c r="J5243" s="1">
        <v>19.239999999999998</v>
      </c>
      <c r="K5243" t="s">
        <v>21</v>
      </c>
      <c r="L5243" s="1">
        <v>21.16</v>
      </c>
    </row>
    <row r="5244" spans="1:12">
      <c r="A5244" t="s">
        <v>5098</v>
      </c>
      <c r="B5244">
        <v>389713</v>
      </c>
      <c r="C5244" s="2" t="str">
        <f>"DBF77"</f>
        <v>DBF77</v>
      </c>
      <c r="D5244" t="s">
        <v>5352</v>
      </c>
      <c r="E5244" t="s">
        <v>4</v>
      </c>
      <c r="F5244">
        <v>7</v>
      </c>
      <c r="H5244" t="s">
        <v>5</v>
      </c>
      <c r="I5244" s="1">
        <v>29.34</v>
      </c>
      <c r="J5244" s="1">
        <v>29.34</v>
      </c>
      <c r="K5244" t="s">
        <v>6</v>
      </c>
    </row>
    <row r="5245" spans="1:12">
      <c r="A5245" t="s">
        <v>5098</v>
      </c>
      <c r="B5245">
        <v>431473</v>
      </c>
      <c r="C5245" s="2" t="str">
        <f>"E5600-9"</f>
        <v>E5600-9</v>
      </c>
      <c r="D5245" t="s">
        <v>5353</v>
      </c>
      <c r="E5245" t="s">
        <v>4</v>
      </c>
      <c r="F5245">
        <v>1.84</v>
      </c>
      <c r="H5245" t="s">
        <v>5</v>
      </c>
      <c r="I5245" s="1">
        <v>45.03</v>
      </c>
      <c r="J5245" s="1">
        <v>45.03</v>
      </c>
      <c r="K5245" t="s">
        <v>6</v>
      </c>
    </row>
    <row r="5246" spans="1:12">
      <c r="A5246" t="s">
        <v>5098</v>
      </c>
      <c r="B5246">
        <v>423855</v>
      </c>
      <c r="C5246" s="2" t="str">
        <f>"E5601"</f>
        <v>E5601</v>
      </c>
      <c r="D5246" t="s">
        <v>5354</v>
      </c>
      <c r="E5246" t="s">
        <v>4</v>
      </c>
      <c r="F5246">
        <v>0.41</v>
      </c>
      <c r="H5246" t="s">
        <v>5</v>
      </c>
      <c r="I5246" s="1">
        <v>3.72</v>
      </c>
      <c r="J5246" s="1">
        <v>3.72</v>
      </c>
      <c r="K5246" t="s">
        <v>6</v>
      </c>
    </row>
    <row r="5247" spans="1:12">
      <c r="A5247" t="s">
        <v>5098</v>
      </c>
      <c r="B5247">
        <v>439272</v>
      </c>
      <c r="C5247" s="2" t="str">
        <f>"E5602"</f>
        <v>E5602</v>
      </c>
      <c r="D5247" t="s">
        <v>5355</v>
      </c>
      <c r="E5247" t="s">
        <v>4</v>
      </c>
      <c r="F5247">
        <v>0.21</v>
      </c>
      <c r="H5247" t="s">
        <v>5</v>
      </c>
      <c r="I5247" s="1">
        <v>3.72</v>
      </c>
      <c r="J5247" s="1">
        <v>3.72</v>
      </c>
      <c r="K5247" t="s">
        <v>6</v>
      </c>
    </row>
    <row r="5248" spans="1:12">
      <c r="A5248" t="s">
        <v>5098</v>
      </c>
      <c r="B5248">
        <v>423856</v>
      </c>
      <c r="C5248" s="2" t="str">
        <f>"E5603"</f>
        <v>E5603</v>
      </c>
      <c r="D5248" t="s">
        <v>5356</v>
      </c>
      <c r="E5248" t="s">
        <v>4</v>
      </c>
      <c r="F5248">
        <v>0.28000000000000003</v>
      </c>
      <c r="H5248" t="s">
        <v>5</v>
      </c>
      <c r="I5248" s="1">
        <v>5.49</v>
      </c>
      <c r="J5248" s="1">
        <v>5.49</v>
      </c>
      <c r="K5248" t="s">
        <v>6</v>
      </c>
    </row>
    <row r="5249" spans="1:12">
      <c r="A5249" t="s">
        <v>5098</v>
      </c>
      <c r="B5249">
        <v>423858</v>
      </c>
      <c r="C5249" s="2" t="str">
        <f>"E5604"</f>
        <v>E5604</v>
      </c>
      <c r="D5249" t="s">
        <v>5357</v>
      </c>
      <c r="E5249" t="s">
        <v>4</v>
      </c>
      <c r="F5249">
        <v>0.22</v>
      </c>
      <c r="H5249" t="s">
        <v>5</v>
      </c>
      <c r="I5249" s="1">
        <v>3.72</v>
      </c>
      <c r="J5249" s="1">
        <v>3.72</v>
      </c>
      <c r="K5249" t="s">
        <v>6</v>
      </c>
    </row>
    <row r="5250" spans="1:12">
      <c r="A5250" t="s">
        <v>5098</v>
      </c>
      <c r="B5250">
        <v>423859</v>
      </c>
      <c r="C5250" s="2" t="str">
        <f>"E5606"</f>
        <v>E5606</v>
      </c>
      <c r="D5250" t="s">
        <v>5358</v>
      </c>
      <c r="E5250" t="s">
        <v>4</v>
      </c>
      <c r="F5250">
        <v>0.25</v>
      </c>
      <c r="H5250" t="s">
        <v>5</v>
      </c>
      <c r="I5250" s="1">
        <v>4.58</v>
      </c>
      <c r="J5250" s="1">
        <v>4.58</v>
      </c>
      <c r="K5250" t="s">
        <v>6</v>
      </c>
    </row>
    <row r="5251" spans="1:12">
      <c r="A5251" t="s">
        <v>5098</v>
      </c>
      <c r="B5251">
        <v>423860</v>
      </c>
      <c r="C5251" s="2" t="str">
        <f>"E5607"</f>
        <v>E5607</v>
      </c>
      <c r="D5251" t="s">
        <v>5359</v>
      </c>
      <c r="E5251" t="s">
        <v>4</v>
      </c>
      <c r="F5251">
        <v>0.21</v>
      </c>
      <c r="H5251" t="s">
        <v>5</v>
      </c>
      <c r="I5251" s="1">
        <v>3.98</v>
      </c>
      <c r="J5251" s="1">
        <v>3.98</v>
      </c>
      <c r="K5251" t="s">
        <v>6</v>
      </c>
    </row>
    <row r="5252" spans="1:12">
      <c r="A5252" t="s">
        <v>5098</v>
      </c>
      <c r="B5252">
        <v>423853</v>
      </c>
      <c r="C5252" s="2" t="str">
        <f>"E5613"</f>
        <v>E5613</v>
      </c>
      <c r="D5252" t="s">
        <v>5360</v>
      </c>
      <c r="E5252" t="s">
        <v>4</v>
      </c>
      <c r="F5252">
        <v>0.3</v>
      </c>
      <c r="H5252" t="s">
        <v>5</v>
      </c>
      <c r="I5252" s="1">
        <v>4.8099999999999996</v>
      </c>
      <c r="J5252" s="1">
        <v>4.8099999999999996</v>
      </c>
      <c r="K5252" t="s">
        <v>6</v>
      </c>
    </row>
    <row r="5253" spans="1:12">
      <c r="A5253" t="s">
        <v>5098</v>
      </c>
      <c r="B5253">
        <v>438957</v>
      </c>
      <c r="C5253" s="2" t="str">
        <f>"E5614"</f>
        <v>E5614</v>
      </c>
      <c r="D5253" t="s">
        <v>5361</v>
      </c>
      <c r="E5253" t="s">
        <v>4</v>
      </c>
      <c r="F5253">
        <v>0.45</v>
      </c>
      <c r="H5253" t="s">
        <v>5</v>
      </c>
      <c r="I5253" s="1">
        <v>11.13</v>
      </c>
      <c r="J5253" s="1">
        <v>11.13</v>
      </c>
      <c r="K5253" t="s">
        <v>6</v>
      </c>
    </row>
    <row r="5254" spans="1:12">
      <c r="A5254" t="s">
        <v>5098</v>
      </c>
      <c r="B5254">
        <v>423861</v>
      </c>
      <c r="C5254" s="2" t="str">
        <f>"E5616"</f>
        <v>E5616</v>
      </c>
      <c r="D5254" t="s">
        <v>5362</v>
      </c>
      <c r="E5254" t="s">
        <v>4</v>
      </c>
      <c r="F5254">
        <v>0.35</v>
      </c>
      <c r="H5254" t="s">
        <v>5</v>
      </c>
      <c r="I5254" s="1">
        <v>4.58</v>
      </c>
      <c r="J5254" s="1">
        <v>4.58</v>
      </c>
      <c r="K5254" t="s">
        <v>6</v>
      </c>
    </row>
    <row r="5255" spans="1:12">
      <c r="A5255" t="s">
        <v>5098</v>
      </c>
      <c r="B5255">
        <v>423854</v>
      </c>
      <c r="C5255" s="2" t="str">
        <f>"E5627"</f>
        <v>E5627</v>
      </c>
      <c r="D5255" t="s">
        <v>5363</v>
      </c>
      <c r="E5255" t="s">
        <v>4</v>
      </c>
      <c r="F5255">
        <v>0.7</v>
      </c>
      <c r="H5255" t="s">
        <v>5</v>
      </c>
      <c r="I5255" s="1">
        <v>11.86</v>
      </c>
      <c r="J5255" s="1">
        <v>11.86</v>
      </c>
      <c r="K5255" t="s">
        <v>6</v>
      </c>
    </row>
    <row r="5256" spans="1:12">
      <c r="A5256" t="s">
        <v>5098</v>
      </c>
      <c r="B5256">
        <v>423863</v>
      </c>
      <c r="C5256" s="2" t="str">
        <f>"E5698"</f>
        <v>E5698</v>
      </c>
      <c r="D5256" t="s">
        <v>5364</v>
      </c>
      <c r="E5256" t="s">
        <v>4</v>
      </c>
      <c r="F5256">
        <v>0.67</v>
      </c>
      <c r="H5256" t="s">
        <v>5</v>
      </c>
      <c r="I5256" s="1">
        <v>12.39</v>
      </c>
      <c r="J5256" s="1">
        <v>12.39</v>
      </c>
      <c r="K5256" t="s">
        <v>6</v>
      </c>
    </row>
    <row r="5257" spans="1:12">
      <c r="A5257" t="s">
        <v>5098</v>
      </c>
      <c r="B5257">
        <v>469398</v>
      </c>
      <c r="C5257" s="2" t="str">
        <f>"E5699"</f>
        <v>E5699</v>
      </c>
      <c r="D5257" t="s">
        <v>5365</v>
      </c>
      <c r="E5257" t="s">
        <v>4</v>
      </c>
      <c r="F5257">
        <v>0.7</v>
      </c>
      <c r="H5257" t="s">
        <v>5</v>
      </c>
      <c r="I5257" s="1">
        <v>7.8</v>
      </c>
      <c r="J5257" s="1">
        <v>7.8</v>
      </c>
      <c r="K5257" t="s">
        <v>6</v>
      </c>
    </row>
    <row r="5258" spans="1:12">
      <c r="A5258" t="s">
        <v>5098</v>
      </c>
      <c r="B5258">
        <v>380460</v>
      </c>
      <c r="C5258" s="2" t="str">
        <f>"H158"</f>
        <v>H158</v>
      </c>
      <c r="D5258" t="s">
        <v>5366</v>
      </c>
      <c r="E5258" t="s">
        <v>4</v>
      </c>
      <c r="F5258">
        <v>1.68</v>
      </c>
      <c r="G5258">
        <v>0.14000000000000001</v>
      </c>
      <c r="H5258" t="s">
        <v>106</v>
      </c>
      <c r="I5258" s="1">
        <v>1.73</v>
      </c>
      <c r="J5258" s="1">
        <v>1.73</v>
      </c>
      <c r="K5258" t="s">
        <v>21</v>
      </c>
      <c r="L5258" s="1">
        <v>1.9</v>
      </c>
    </row>
    <row r="5259" spans="1:12">
      <c r="A5259" t="s">
        <v>5098</v>
      </c>
      <c r="B5259">
        <v>380461</v>
      </c>
      <c r="C5259" s="2" t="str">
        <f>"H159"</f>
        <v>H159</v>
      </c>
      <c r="D5259" t="s">
        <v>5367</v>
      </c>
      <c r="E5259" t="s">
        <v>4</v>
      </c>
      <c r="F5259">
        <v>3.36</v>
      </c>
      <c r="G5259">
        <v>0.28000000000000003</v>
      </c>
      <c r="H5259" t="s">
        <v>106</v>
      </c>
      <c r="I5259" s="1">
        <v>2.82</v>
      </c>
      <c r="J5259" s="1">
        <v>2.82</v>
      </c>
      <c r="K5259" t="s">
        <v>457</v>
      </c>
      <c r="L5259" s="1">
        <v>3.1</v>
      </c>
    </row>
    <row r="5260" spans="1:12">
      <c r="A5260" t="s">
        <v>5098</v>
      </c>
      <c r="B5260">
        <v>420846</v>
      </c>
      <c r="C5260" s="2" t="str">
        <f>"H916N"</f>
        <v>H916N</v>
      </c>
      <c r="D5260" t="s">
        <v>5368</v>
      </c>
      <c r="E5260" t="s">
        <v>4</v>
      </c>
      <c r="F5260">
        <v>16.02</v>
      </c>
      <c r="G5260">
        <v>2.67</v>
      </c>
      <c r="H5260" t="s">
        <v>20</v>
      </c>
      <c r="I5260" s="1">
        <v>23.4</v>
      </c>
      <c r="J5260" s="1">
        <v>23.4</v>
      </c>
      <c r="K5260" t="s">
        <v>457</v>
      </c>
      <c r="L5260" s="1">
        <v>25.74</v>
      </c>
    </row>
    <row r="5261" spans="1:12">
      <c r="A5261" t="s">
        <v>5098</v>
      </c>
      <c r="B5261">
        <v>423242</v>
      </c>
      <c r="C5261" s="2" t="str">
        <f>"H918N"</f>
        <v>H918N</v>
      </c>
      <c r="D5261" t="s">
        <v>5369</v>
      </c>
      <c r="E5261" t="s">
        <v>4</v>
      </c>
      <c r="F5261">
        <v>15</v>
      </c>
      <c r="G5261">
        <v>2.5</v>
      </c>
      <c r="H5261" t="s">
        <v>20</v>
      </c>
      <c r="I5261" s="1">
        <v>20.55</v>
      </c>
      <c r="J5261" s="1">
        <v>20.55</v>
      </c>
      <c r="K5261" t="s">
        <v>457</v>
      </c>
      <c r="L5261" s="1">
        <v>22.61</v>
      </c>
    </row>
    <row r="5262" spans="1:12">
      <c r="A5262" t="s">
        <v>5098</v>
      </c>
      <c r="B5262">
        <v>380405</v>
      </c>
      <c r="C5262" s="2" t="str">
        <f>"K26"</f>
        <v>K26</v>
      </c>
      <c r="D5262" t="s">
        <v>5370</v>
      </c>
      <c r="E5262" t="s">
        <v>4</v>
      </c>
      <c r="F5262">
        <v>2.04</v>
      </c>
      <c r="G5262">
        <v>0.17</v>
      </c>
      <c r="H5262" t="s">
        <v>106</v>
      </c>
      <c r="I5262" s="1">
        <v>4.42</v>
      </c>
      <c r="J5262" s="1">
        <v>4.42</v>
      </c>
      <c r="K5262" t="s">
        <v>464</v>
      </c>
      <c r="L5262" s="1">
        <v>4.8600000000000003</v>
      </c>
    </row>
    <row r="5263" spans="1:12">
      <c r="A5263" t="s">
        <v>5098</v>
      </c>
      <c r="B5263">
        <v>506616</v>
      </c>
      <c r="C5263" s="2" t="str">
        <f>"KK3"</f>
        <v>KK3</v>
      </c>
      <c r="D5263" t="s">
        <v>5371</v>
      </c>
      <c r="E5263" t="s">
        <v>4</v>
      </c>
      <c r="F5263">
        <v>4</v>
      </c>
      <c r="H5263" t="s">
        <v>5</v>
      </c>
      <c r="I5263" s="1">
        <v>46.41</v>
      </c>
      <c r="J5263" s="1">
        <v>46.41</v>
      </c>
      <c r="K5263" t="s">
        <v>6</v>
      </c>
    </row>
    <row r="5264" spans="1:12">
      <c r="A5264" t="s">
        <v>5098</v>
      </c>
      <c r="B5264">
        <v>380198</v>
      </c>
      <c r="C5264" s="2" t="str">
        <f>"KK33"</f>
        <v>KK33</v>
      </c>
      <c r="D5264" t="s">
        <v>5372</v>
      </c>
      <c r="E5264" t="s">
        <v>4</v>
      </c>
      <c r="F5264">
        <v>2.14</v>
      </c>
      <c r="H5264" t="s">
        <v>5</v>
      </c>
      <c r="I5264" s="1">
        <v>9.61</v>
      </c>
      <c r="J5264" s="1">
        <v>9.41</v>
      </c>
      <c r="K5264" t="s">
        <v>6</v>
      </c>
    </row>
    <row r="5265" spans="1:12">
      <c r="A5265" t="s">
        <v>5098</v>
      </c>
      <c r="B5265">
        <v>432715</v>
      </c>
      <c r="C5265" s="2" t="str">
        <f>"L32"</f>
        <v>L32</v>
      </c>
      <c r="D5265" t="s">
        <v>5373</v>
      </c>
      <c r="E5265" t="s">
        <v>4</v>
      </c>
      <c r="F5265">
        <v>3</v>
      </c>
      <c r="G5265">
        <v>0.5</v>
      </c>
      <c r="H5265" t="s">
        <v>20</v>
      </c>
      <c r="I5265" s="1">
        <v>10.31</v>
      </c>
      <c r="J5265" s="1">
        <v>10.31</v>
      </c>
      <c r="K5265" t="s">
        <v>21</v>
      </c>
      <c r="L5265" s="1">
        <v>11.34</v>
      </c>
    </row>
    <row r="5266" spans="1:12">
      <c r="A5266" t="s">
        <v>5098</v>
      </c>
      <c r="B5266">
        <v>397451</v>
      </c>
      <c r="C5266" s="2" t="str">
        <f>"L48"</f>
        <v>L48</v>
      </c>
      <c r="D5266" t="s">
        <v>5374</v>
      </c>
      <c r="E5266" t="s">
        <v>4</v>
      </c>
      <c r="F5266">
        <v>3</v>
      </c>
      <c r="G5266">
        <v>0.5</v>
      </c>
      <c r="H5266" t="s">
        <v>20</v>
      </c>
      <c r="I5266" s="1">
        <v>13.08</v>
      </c>
      <c r="J5266" s="1">
        <v>13.08</v>
      </c>
      <c r="K5266" t="s">
        <v>457</v>
      </c>
      <c r="L5266" s="1">
        <v>14.39</v>
      </c>
    </row>
    <row r="5267" spans="1:12">
      <c r="A5267" t="s">
        <v>5098</v>
      </c>
      <c r="B5267">
        <v>423862</v>
      </c>
      <c r="C5267" s="2" t="str">
        <f>"MH-308"</f>
        <v>MH-308</v>
      </c>
      <c r="D5267" t="s">
        <v>5375</v>
      </c>
      <c r="E5267" t="s">
        <v>4</v>
      </c>
      <c r="F5267">
        <v>0.67</v>
      </c>
      <c r="H5267" t="s">
        <v>5</v>
      </c>
      <c r="I5267" s="1">
        <v>58.79</v>
      </c>
      <c r="J5267" s="1">
        <v>58.79</v>
      </c>
      <c r="K5267" t="s">
        <v>6</v>
      </c>
    </row>
    <row r="5268" spans="1:12">
      <c r="A5268" t="s">
        <v>5098</v>
      </c>
      <c r="B5268">
        <v>431474</v>
      </c>
      <c r="C5268" s="2" t="str">
        <f>"MHOIL"</f>
        <v>MHOIL</v>
      </c>
      <c r="D5268" t="s">
        <v>5376</v>
      </c>
      <c r="E5268" t="s">
        <v>4</v>
      </c>
      <c r="F5268">
        <v>1.05</v>
      </c>
      <c r="H5268" t="s">
        <v>5</v>
      </c>
      <c r="I5268" s="1">
        <v>6.94</v>
      </c>
      <c r="J5268" s="1">
        <v>6.94</v>
      </c>
      <c r="K5268" t="s">
        <v>6</v>
      </c>
    </row>
    <row r="5269" spans="1:12">
      <c r="A5269" t="s">
        <v>5098</v>
      </c>
      <c r="B5269">
        <v>380501</v>
      </c>
      <c r="C5269" s="2" t="str">
        <f>"MW10"</f>
        <v>MW10</v>
      </c>
      <c r="D5269" t="s">
        <v>5377</v>
      </c>
      <c r="E5269" t="s">
        <v>4</v>
      </c>
      <c r="F5269">
        <v>5</v>
      </c>
      <c r="H5269" t="s">
        <v>5</v>
      </c>
      <c r="I5269" s="1">
        <v>86.58</v>
      </c>
      <c r="J5269" s="1">
        <v>86.58</v>
      </c>
      <c r="K5269" t="s">
        <v>6</v>
      </c>
    </row>
    <row r="5270" spans="1:12">
      <c r="A5270" t="s">
        <v>5098</v>
      </c>
      <c r="B5270">
        <v>397445</v>
      </c>
      <c r="C5270" s="2" t="str">
        <f>"P10"</f>
        <v>P10</v>
      </c>
      <c r="D5270" t="s">
        <v>5378</v>
      </c>
      <c r="E5270" t="s">
        <v>4</v>
      </c>
      <c r="F5270">
        <v>5</v>
      </c>
      <c r="H5270" t="s">
        <v>5</v>
      </c>
      <c r="I5270" s="1">
        <v>87.75</v>
      </c>
      <c r="J5270" s="1">
        <v>87.75</v>
      </c>
      <c r="K5270" t="s">
        <v>6</v>
      </c>
    </row>
    <row r="5271" spans="1:12">
      <c r="A5271" t="s">
        <v>5098</v>
      </c>
      <c r="B5271">
        <v>397447</v>
      </c>
      <c r="C5271" s="2" t="str">
        <f>"P260"</f>
        <v>P260</v>
      </c>
      <c r="D5271" t="s">
        <v>5379</v>
      </c>
      <c r="E5271" t="s">
        <v>4</v>
      </c>
      <c r="F5271">
        <v>3</v>
      </c>
      <c r="H5271" t="s">
        <v>5</v>
      </c>
      <c r="I5271" s="1">
        <v>44.93</v>
      </c>
      <c r="J5271" s="1">
        <v>44.93</v>
      </c>
      <c r="K5271" t="s">
        <v>6</v>
      </c>
    </row>
    <row r="5272" spans="1:12">
      <c r="A5272" t="s">
        <v>5098</v>
      </c>
      <c r="B5272">
        <v>380192</v>
      </c>
      <c r="C5272" s="2" t="str">
        <f>"P410A"</f>
        <v>P410A</v>
      </c>
      <c r="D5272" t="s">
        <v>5380</v>
      </c>
      <c r="E5272" t="s">
        <v>4</v>
      </c>
      <c r="F5272">
        <v>4</v>
      </c>
      <c r="H5272" t="s">
        <v>5</v>
      </c>
      <c r="I5272" s="1">
        <v>59.28</v>
      </c>
      <c r="J5272" s="1">
        <v>59.28</v>
      </c>
      <c r="K5272" t="s">
        <v>6</v>
      </c>
    </row>
    <row r="5273" spans="1:12">
      <c r="A5273" t="s">
        <v>5098</v>
      </c>
      <c r="B5273">
        <v>380193</v>
      </c>
      <c r="C5273" s="2" t="str">
        <f>"P410B"</f>
        <v>P410B</v>
      </c>
      <c r="D5273" t="s">
        <v>5381</v>
      </c>
      <c r="E5273" t="s">
        <v>4</v>
      </c>
      <c r="F5273">
        <v>4</v>
      </c>
      <c r="H5273" t="s">
        <v>5</v>
      </c>
      <c r="I5273" s="1">
        <v>59.28</v>
      </c>
      <c r="J5273" s="1">
        <v>59.28</v>
      </c>
      <c r="K5273" t="s">
        <v>6</v>
      </c>
    </row>
    <row r="5274" spans="1:12">
      <c r="A5274" t="s">
        <v>5098</v>
      </c>
      <c r="B5274">
        <v>380194</v>
      </c>
      <c r="C5274" s="2" t="str">
        <f>"P410RE"</f>
        <v>P410RE</v>
      </c>
      <c r="D5274" t="s">
        <v>5382</v>
      </c>
      <c r="E5274" t="s">
        <v>4</v>
      </c>
      <c r="F5274">
        <v>4</v>
      </c>
      <c r="H5274" t="s">
        <v>5</v>
      </c>
      <c r="I5274" s="1">
        <v>59.28</v>
      </c>
      <c r="J5274" s="1">
        <v>59.28</v>
      </c>
      <c r="K5274" t="s">
        <v>6</v>
      </c>
    </row>
    <row r="5275" spans="1:12">
      <c r="A5275" t="s">
        <v>5098</v>
      </c>
      <c r="B5275">
        <v>398328</v>
      </c>
      <c r="C5275" s="2" t="str">
        <f>"P57S"</f>
        <v>P57S</v>
      </c>
      <c r="D5275" t="s">
        <v>5383</v>
      </c>
      <c r="E5275" t="s">
        <v>4</v>
      </c>
      <c r="F5275">
        <v>3</v>
      </c>
      <c r="H5275" t="s">
        <v>5</v>
      </c>
      <c r="I5275" s="1">
        <v>67.39</v>
      </c>
      <c r="J5275" s="1">
        <v>67.39</v>
      </c>
      <c r="K5275" t="s">
        <v>6</v>
      </c>
    </row>
    <row r="5276" spans="1:12">
      <c r="A5276" t="s">
        <v>5098</v>
      </c>
      <c r="B5276">
        <v>398327</v>
      </c>
      <c r="C5276" s="2" t="str">
        <f>"P800"</f>
        <v>P800</v>
      </c>
      <c r="D5276" t="s">
        <v>5384</v>
      </c>
      <c r="E5276" t="s">
        <v>4</v>
      </c>
      <c r="F5276">
        <v>6</v>
      </c>
      <c r="H5276" t="s">
        <v>5</v>
      </c>
      <c r="I5276" s="1">
        <v>67.39</v>
      </c>
      <c r="J5276" s="1">
        <v>67.39</v>
      </c>
      <c r="K5276" t="s">
        <v>6</v>
      </c>
    </row>
    <row r="5277" spans="1:12">
      <c r="A5277" t="s">
        <v>5098</v>
      </c>
      <c r="B5277">
        <v>439368</v>
      </c>
      <c r="C5277" s="2" t="str">
        <f>"PKR-1"</f>
        <v>PKR-1</v>
      </c>
      <c r="D5277" t="s">
        <v>5385</v>
      </c>
      <c r="E5277" t="s">
        <v>4</v>
      </c>
      <c r="F5277">
        <v>3.1</v>
      </c>
      <c r="H5277" t="s">
        <v>5</v>
      </c>
      <c r="I5277" s="1">
        <v>14.87</v>
      </c>
      <c r="J5277" s="1">
        <v>14.87</v>
      </c>
      <c r="K5277" t="s">
        <v>6</v>
      </c>
    </row>
    <row r="5278" spans="1:12">
      <c r="A5278" t="s">
        <v>5098</v>
      </c>
      <c r="B5278">
        <v>391328</v>
      </c>
      <c r="C5278" s="2" t="str">
        <f>"PM2110"</f>
        <v>PM2110</v>
      </c>
      <c r="D5278" t="s">
        <v>5386</v>
      </c>
      <c r="E5278" t="s">
        <v>4</v>
      </c>
      <c r="F5278">
        <v>1.04</v>
      </c>
      <c r="H5278" t="s">
        <v>5</v>
      </c>
      <c r="I5278" s="1">
        <v>50.88</v>
      </c>
      <c r="J5278" s="1">
        <v>50.88</v>
      </c>
      <c r="K5278" t="s">
        <v>6</v>
      </c>
    </row>
    <row r="5279" spans="1:12">
      <c r="A5279" t="s">
        <v>5098</v>
      </c>
      <c r="B5279">
        <v>380211</v>
      </c>
      <c r="C5279" s="2" t="str">
        <f>"PM2112"</f>
        <v>PM2112</v>
      </c>
      <c r="D5279" t="s">
        <v>5387</v>
      </c>
      <c r="E5279" t="s">
        <v>4</v>
      </c>
      <c r="F5279">
        <v>1.3</v>
      </c>
      <c r="H5279" t="s">
        <v>5</v>
      </c>
      <c r="I5279" s="1">
        <v>54.8</v>
      </c>
      <c r="J5279" s="1">
        <v>54.8</v>
      </c>
      <c r="K5279" t="s">
        <v>6</v>
      </c>
    </row>
    <row r="5280" spans="1:12">
      <c r="A5280" t="s">
        <v>5098</v>
      </c>
      <c r="B5280">
        <v>380212</v>
      </c>
      <c r="C5280" s="2" t="str">
        <f>"PM2118"</f>
        <v>PM2118</v>
      </c>
      <c r="D5280" t="s">
        <v>5388</v>
      </c>
      <c r="E5280" t="s">
        <v>4</v>
      </c>
      <c r="F5280">
        <v>2.0299999999999998</v>
      </c>
      <c r="H5280" t="s">
        <v>5</v>
      </c>
      <c r="I5280" s="1">
        <v>92.17</v>
      </c>
      <c r="J5280" s="1">
        <v>92.17</v>
      </c>
      <c r="K5280" t="s">
        <v>6</v>
      </c>
    </row>
    <row r="5281" spans="1:12">
      <c r="A5281" t="s">
        <v>5098</v>
      </c>
      <c r="B5281">
        <v>380486</v>
      </c>
      <c r="C5281" s="2" t="str">
        <f>"S209"</f>
        <v>S209</v>
      </c>
      <c r="D5281" t="s">
        <v>5389</v>
      </c>
      <c r="E5281" t="s">
        <v>4</v>
      </c>
      <c r="F5281">
        <v>1.68</v>
      </c>
      <c r="G5281">
        <v>0.14000000000000001</v>
      </c>
      <c r="H5281" t="s">
        <v>106</v>
      </c>
      <c r="I5281" s="1">
        <v>1.55</v>
      </c>
      <c r="J5281" s="1">
        <v>1.55</v>
      </c>
      <c r="K5281" t="s">
        <v>457</v>
      </c>
      <c r="L5281" s="1">
        <v>1.7</v>
      </c>
    </row>
    <row r="5282" spans="1:12">
      <c r="A5282" t="s">
        <v>5098</v>
      </c>
      <c r="B5282">
        <v>380462</v>
      </c>
      <c r="C5282" s="2" t="str">
        <f>"SG201"</f>
        <v>SG201</v>
      </c>
      <c r="D5282" t="s">
        <v>5390</v>
      </c>
      <c r="E5282" t="s">
        <v>4</v>
      </c>
      <c r="F5282">
        <v>9.9600000000000009</v>
      </c>
      <c r="G5282">
        <v>0.83</v>
      </c>
      <c r="H5282" t="s">
        <v>106</v>
      </c>
      <c r="I5282" s="1">
        <v>8.9700000000000006</v>
      </c>
      <c r="J5282" s="1">
        <v>8.9700000000000006</v>
      </c>
      <c r="K5282" t="s">
        <v>457</v>
      </c>
      <c r="L5282" s="1">
        <v>9.8699999999999992</v>
      </c>
    </row>
    <row r="5283" spans="1:12">
      <c r="A5283" t="s">
        <v>5391</v>
      </c>
      <c r="B5283">
        <v>531723</v>
      </c>
      <c r="C5283" s="2" t="str">
        <f>"3506"</f>
        <v>3506</v>
      </c>
      <c r="D5283" t="s">
        <v>5392</v>
      </c>
      <c r="E5283" t="s">
        <v>4</v>
      </c>
      <c r="F5283">
        <v>1.02</v>
      </c>
      <c r="G5283">
        <v>0.17</v>
      </c>
      <c r="H5283" t="s">
        <v>20</v>
      </c>
      <c r="I5283" s="1">
        <v>3.06</v>
      </c>
      <c r="J5283" s="1">
        <v>2.9</v>
      </c>
      <c r="K5283" t="s">
        <v>457</v>
      </c>
      <c r="L5283" s="1">
        <v>3.19</v>
      </c>
    </row>
    <row r="5284" spans="1:12">
      <c r="A5284" t="s">
        <v>5391</v>
      </c>
      <c r="B5284">
        <v>532173</v>
      </c>
      <c r="C5284" s="2" t="str">
        <f>"3507"</f>
        <v>3507</v>
      </c>
      <c r="D5284" t="s">
        <v>5393</v>
      </c>
      <c r="E5284" t="s">
        <v>4</v>
      </c>
      <c r="F5284">
        <v>0.78</v>
      </c>
      <c r="G5284">
        <v>0.13</v>
      </c>
      <c r="H5284" t="s">
        <v>20</v>
      </c>
      <c r="I5284" s="1">
        <v>3.06</v>
      </c>
      <c r="J5284" s="1">
        <v>2.9</v>
      </c>
      <c r="K5284" t="s">
        <v>21</v>
      </c>
      <c r="L5284" s="1">
        <v>3.19</v>
      </c>
    </row>
    <row r="5285" spans="1:12">
      <c r="A5285" t="s">
        <v>5391</v>
      </c>
      <c r="B5285">
        <v>531725</v>
      </c>
      <c r="C5285" s="2" t="str">
        <f>"3512"</f>
        <v>3512</v>
      </c>
      <c r="D5285" t="s">
        <v>5394</v>
      </c>
      <c r="E5285" t="s">
        <v>4</v>
      </c>
      <c r="F5285">
        <v>0.06</v>
      </c>
      <c r="G5285">
        <v>0.01</v>
      </c>
      <c r="H5285" t="s">
        <v>20</v>
      </c>
      <c r="I5285" s="1">
        <v>2.84</v>
      </c>
      <c r="J5285" s="1">
        <v>2.69</v>
      </c>
      <c r="K5285" t="s">
        <v>457</v>
      </c>
      <c r="L5285" s="1">
        <v>2.96</v>
      </c>
    </row>
    <row r="5286" spans="1:12">
      <c r="A5286" t="s">
        <v>5391</v>
      </c>
      <c r="B5286">
        <v>531726</v>
      </c>
      <c r="C5286" s="2" t="str">
        <f>"3516"</f>
        <v>3516</v>
      </c>
      <c r="D5286" t="s">
        <v>5395</v>
      </c>
      <c r="E5286" t="s">
        <v>4</v>
      </c>
      <c r="F5286">
        <v>0.66</v>
      </c>
      <c r="G5286">
        <v>0.11</v>
      </c>
      <c r="H5286" t="s">
        <v>20</v>
      </c>
      <c r="I5286" s="1">
        <v>8.83</v>
      </c>
      <c r="J5286" s="1">
        <v>8.3699999999999992</v>
      </c>
      <c r="K5286" t="s">
        <v>457</v>
      </c>
      <c r="L5286" s="1">
        <v>9.1999999999999993</v>
      </c>
    </row>
    <row r="5287" spans="1:12">
      <c r="A5287" t="s">
        <v>5391</v>
      </c>
      <c r="B5287">
        <v>379472</v>
      </c>
      <c r="C5287" s="2" t="str">
        <f>"3621N"</f>
        <v>3621N</v>
      </c>
      <c r="D5287" t="s">
        <v>5396</v>
      </c>
      <c r="E5287" t="s">
        <v>4</v>
      </c>
      <c r="F5287">
        <v>0.48</v>
      </c>
      <c r="G5287">
        <v>0.08</v>
      </c>
      <c r="H5287" t="s">
        <v>20</v>
      </c>
      <c r="I5287" s="1">
        <v>6.05</v>
      </c>
      <c r="J5287" s="1">
        <v>5.73</v>
      </c>
      <c r="K5287" t="s">
        <v>457</v>
      </c>
      <c r="L5287" s="1">
        <v>6.31</v>
      </c>
    </row>
    <row r="5288" spans="1:12">
      <c r="A5288" t="s">
        <v>5391</v>
      </c>
      <c r="B5288">
        <v>531835</v>
      </c>
      <c r="C5288" s="2" t="str">
        <f>"5828"</f>
        <v>5828</v>
      </c>
      <c r="D5288" t="s">
        <v>5397</v>
      </c>
      <c r="E5288" t="s">
        <v>4</v>
      </c>
      <c r="F5288">
        <v>1.32</v>
      </c>
      <c r="G5288">
        <v>0.22</v>
      </c>
      <c r="H5288" t="s">
        <v>20</v>
      </c>
      <c r="I5288" s="1">
        <v>6.18</v>
      </c>
      <c r="J5288" s="1">
        <v>5.85</v>
      </c>
      <c r="K5288" t="s">
        <v>21</v>
      </c>
      <c r="L5288" s="1">
        <v>6.44</v>
      </c>
    </row>
    <row r="5289" spans="1:12">
      <c r="A5289" t="s">
        <v>5391</v>
      </c>
      <c r="B5289">
        <v>459650</v>
      </c>
      <c r="C5289" s="2" t="str">
        <f>"5831"</f>
        <v>5831</v>
      </c>
      <c r="D5289" t="s">
        <v>5398</v>
      </c>
      <c r="E5289" t="s">
        <v>4</v>
      </c>
      <c r="F5289">
        <v>1.5</v>
      </c>
      <c r="G5289">
        <v>0.25</v>
      </c>
      <c r="H5289" t="s">
        <v>20</v>
      </c>
      <c r="I5289" s="1">
        <v>6.05</v>
      </c>
      <c r="J5289" s="1">
        <v>5.73</v>
      </c>
      <c r="K5289" t="s">
        <v>21</v>
      </c>
      <c r="L5289" s="1">
        <v>6.3</v>
      </c>
    </row>
    <row r="5290" spans="1:12">
      <c r="A5290" t="s">
        <v>5391</v>
      </c>
      <c r="B5290">
        <v>451171</v>
      </c>
      <c r="C5290" s="2" t="str">
        <f>"5911N"</f>
        <v>5911N</v>
      </c>
      <c r="D5290" t="s">
        <v>5399</v>
      </c>
      <c r="E5290" t="s">
        <v>4</v>
      </c>
      <c r="F5290">
        <v>1.5</v>
      </c>
      <c r="G5290">
        <v>0.25</v>
      </c>
      <c r="H5290" t="s">
        <v>20</v>
      </c>
      <c r="I5290" s="1">
        <v>8.64</v>
      </c>
      <c r="J5290" s="1">
        <v>8.18</v>
      </c>
      <c r="K5290" t="s">
        <v>457</v>
      </c>
      <c r="L5290" s="1">
        <v>9</v>
      </c>
    </row>
    <row r="5291" spans="1:12">
      <c r="A5291" t="s">
        <v>5391</v>
      </c>
      <c r="B5291">
        <v>438412</v>
      </c>
      <c r="C5291" s="2" t="str">
        <f>"5924"</f>
        <v>5924</v>
      </c>
      <c r="D5291" t="s">
        <v>5400</v>
      </c>
      <c r="E5291" t="s">
        <v>4</v>
      </c>
      <c r="F5291">
        <v>1.38</v>
      </c>
      <c r="G5291">
        <v>0.23</v>
      </c>
      <c r="H5291" t="s">
        <v>20</v>
      </c>
      <c r="I5291" s="1">
        <v>4.32</v>
      </c>
      <c r="J5291" s="1">
        <v>4.09</v>
      </c>
      <c r="K5291" t="s">
        <v>21</v>
      </c>
      <c r="L5291" s="1">
        <v>4.5</v>
      </c>
    </row>
    <row r="5292" spans="1:12">
      <c r="A5292" t="s">
        <v>5391</v>
      </c>
      <c r="B5292">
        <v>379476</v>
      </c>
      <c r="C5292" s="2" t="str">
        <f>"5925N"</f>
        <v>5925N</v>
      </c>
      <c r="D5292" t="s">
        <v>5401</v>
      </c>
      <c r="E5292" t="s">
        <v>4</v>
      </c>
      <c r="F5292">
        <v>0.78</v>
      </c>
      <c r="G5292">
        <v>0.13</v>
      </c>
      <c r="H5292" t="s">
        <v>20</v>
      </c>
      <c r="I5292" s="1">
        <v>3.08</v>
      </c>
      <c r="J5292" s="1">
        <v>2.92</v>
      </c>
      <c r="K5292" t="s">
        <v>457</v>
      </c>
      <c r="L5292" s="1">
        <v>3.21</v>
      </c>
    </row>
    <row r="5293" spans="1:12">
      <c r="A5293" t="s">
        <v>5391</v>
      </c>
      <c r="B5293">
        <v>398324</v>
      </c>
      <c r="C5293" s="2" t="str">
        <f>"5926"</f>
        <v>5926</v>
      </c>
      <c r="D5293" t="s">
        <v>5402</v>
      </c>
      <c r="E5293" t="s">
        <v>4</v>
      </c>
      <c r="F5293">
        <v>1</v>
      </c>
      <c r="G5293">
        <v>0.02</v>
      </c>
      <c r="H5293" t="s">
        <v>4309</v>
      </c>
      <c r="I5293" s="1">
        <v>1.67</v>
      </c>
      <c r="J5293" s="1">
        <v>1.58</v>
      </c>
      <c r="K5293" t="s">
        <v>457</v>
      </c>
      <c r="L5293" s="1">
        <v>1.74</v>
      </c>
    </row>
    <row r="5294" spans="1:12">
      <c r="A5294" t="s">
        <v>5391</v>
      </c>
      <c r="B5294">
        <v>467548</v>
      </c>
      <c r="C5294" s="2" t="str">
        <f>"5932"</f>
        <v>5932</v>
      </c>
      <c r="D5294" t="s">
        <v>5403</v>
      </c>
      <c r="E5294" t="s">
        <v>4</v>
      </c>
      <c r="F5294">
        <v>6.6</v>
      </c>
      <c r="G5294">
        <v>1.1000000000000001</v>
      </c>
      <c r="H5294" t="s">
        <v>20</v>
      </c>
      <c r="I5294" s="1">
        <v>4.32</v>
      </c>
      <c r="J5294" s="1">
        <v>4.09</v>
      </c>
      <c r="K5294" t="s">
        <v>21</v>
      </c>
      <c r="L5294" s="1">
        <v>4.5</v>
      </c>
    </row>
    <row r="5295" spans="1:12">
      <c r="A5295" t="s">
        <v>5391</v>
      </c>
      <c r="B5295">
        <v>379463</v>
      </c>
      <c r="C5295" s="2" t="str">
        <f>"5939N"</f>
        <v>5939N</v>
      </c>
      <c r="D5295" t="s">
        <v>5404</v>
      </c>
      <c r="E5295" t="s">
        <v>4</v>
      </c>
      <c r="F5295">
        <v>1.44</v>
      </c>
      <c r="G5295">
        <v>0.24</v>
      </c>
      <c r="H5295" t="s">
        <v>20</v>
      </c>
      <c r="I5295" s="1">
        <v>8.02</v>
      </c>
      <c r="J5295" s="1">
        <v>7.6</v>
      </c>
      <c r="K5295" t="s">
        <v>457</v>
      </c>
      <c r="L5295" s="1">
        <v>8.36</v>
      </c>
    </row>
    <row r="5296" spans="1:12">
      <c r="A5296" t="s">
        <v>5391</v>
      </c>
      <c r="B5296">
        <v>379465</v>
      </c>
      <c r="C5296" s="2" t="str">
        <f>"5980N"</f>
        <v>5980N</v>
      </c>
      <c r="D5296" t="s">
        <v>5405</v>
      </c>
      <c r="E5296" t="s">
        <v>4</v>
      </c>
      <c r="F5296">
        <v>1.08</v>
      </c>
      <c r="G5296">
        <v>0.18</v>
      </c>
      <c r="H5296" t="s">
        <v>20</v>
      </c>
      <c r="I5296" s="1">
        <v>4.32</v>
      </c>
      <c r="J5296" s="1">
        <v>4.09</v>
      </c>
      <c r="K5296" t="s">
        <v>457</v>
      </c>
      <c r="L5296" s="1">
        <v>4.5</v>
      </c>
    </row>
    <row r="5297" spans="1:12">
      <c r="A5297" t="s">
        <v>5391</v>
      </c>
      <c r="B5297">
        <v>379474</v>
      </c>
      <c r="C5297" s="2" t="str">
        <f>"5981N"</f>
        <v>5981N</v>
      </c>
      <c r="D5297" t="s">
        <v>5406</v>
      </c>
      <c r="E5297" t="s">
        <v>4</v>
      </c>
      <c r="F5297">
        <v>0.9</v>
      </c>
      <c r="G5297">
        <v>0.15</v>
      </c>
      <c r="H5297" t="s">
        <v>20</v>
      </c>
      <c r="I5297" s="1">
        <v>4.32</v>
      </c>
      <c r="J5297" s="1">
        <v>4.09</v>
      </c>
      <c r="K5297" t="s">
        <v>457</v>
      </c>
      <c r="L5297" s="1">
        <v>4.5</v>
      </c>
    </row>
    <row r="5298" spans="1:12">
      <c r="A5298" t="s">
        <v>5391</v>
      </c>
      <c r="B5298">
        <v>379475</v>
      </c>
      <c r="C5298" s="2" t="str">
        <f>"5982N"</f>
        <v>5982N</v>
      </c>
      <c r="D5298" t="s">
        <v>5407</v>
      </c>
      <c r="E5298" t="s">
        <v>4</v>
      </c>
      <c r="F5298">
        <v>0.72</v>
      </c>
      <c r="G5298">
        <v>0.06</v>
      </c>
      <c r="H5298" t="s">
        <v>106</v>
      </c>
      <c r="I5298" s="1">
        <v>2.78</v>
      </c>
      <c r="J5298" s="1">
        <v>2.63</v>
      </c>
      <c r="K5298" t="s">
        <v>457</v>
      </c>
      <c r="L5298" s="1">
        <v>2.9</v>
      </c>
    </row>
    <row r="5299" spans="1:12">
      <c r="A5299" t="s">
        <v>5391</v>
      </c>
      <c r="B5299">
        <v>379468</v>
      </c>
      <c r="C5299" s="2" t="str">
        <f>"5989N"</f>
        <v>5989N</v>
      </c>
      <c r="D5299" t="s">
        <v>5408</v>
      </c>
      <c r="E5299" t="s">
        <v>4</v>
      </c>
      <c r="F5299">
        <v>1.02</v>
      </c>
      <c r="G5299">
        <v>0.17</v>
      </c>
      <c r="H5299" t="s">
        <v>20</v>
      </c>
      <c r="I5299" s="1">
        <v>5.43</v>
      </c>
      <c r="J5299" s="1">
        <v>5.15</v>
      </c>
      <c r="K5299" t="s">
        <v>457</v>
      </c>
      <c r="L5299" s="1">
        <v>5.66</v>
      </c>
    </row>
    <row r="5300" spans="1:12">
      <c r="A5300" t="s">
        <v>5391</v>
      </c>
      <c r="B5300">
        <v>379459</v>
      </c>
      <c r="C5300" s="2" t="str">
        <f>"5997"</f>
        <v>5997</v>
      </c>
      <c r="D5300" t="s">
        <v>5409</v>
      </c>
      <c r="E5300" t="s">
        <v>4</v>
      </c>
      <c r="F5300">
        <v>4.4000000000000004</v>
      </c>
      <c r="G5300">
        <v>1.1000000000000001</v>
      </c>
      <c r="H5300" t="s">
        <v>153</v>
      </c>
      <c r="I5300" s="1">
        <v>6.17</v>
      </c>
      <c r="J5300" s="1">
        <v>5.84</v>
      </c>
      <c r="K5300" t="s">
        <v>457</v>
      </c>
      <c r="L5300" s="1">
        <v>6.43</v>
      </c>
    </row>
    <row r="5301" spans="1:12">
      <c r="A5301" t="s">
        <v>5391</v>
      </c>
      <c r="B5301">
        <v>486587</v>
      </c>
      <c r="C5301" s="2" t="str">
        <f>"6021"</f>
        <v>6021</v>
      </c>
      <c r="D5301" t="s">
        <v>5410</v>
      </c>
      <c r="E5301" t="s">
        <v>4</v>
      </c>
      <c r="F5301">
        <v>0.19</v>
      </c>
      <c r="H5301" t="s">
        <v>5</v>
      </c>
      <c r="I5301" s="1">
        <v>8.9499999999999993</v>
      </c>
      <c r="J5301" s="1">
        <v>8.48</v>
      </c>
      <c r="K5301" t="s">
        <v>6</v>
      </c>
    </row>
    <row r="5302" spans="1:12">
      <c r="A5302" t="s">
        <v>5391</v>
      </c>
      <c r="B5302">
        <v>379466</v>
      </c>
      <c r="C5302" s="2" t="str">
        <f>"6072N"</f>
        <v>6072N</v>
      </c>
      <c r="D5302" t="s">
        <v>5411</v>
      </c>
      <c r="E5302" t="s">
        <v>4</v>
      </c>
      <c r="F5302">
        <v>0.96</v>
      </c>
      <c r="G5302">
        <v>0.08</v>
      </c>
      <c r="H5302" t="s">
        <v>106</v>
      </c>
      <c r="I5302" s="1">
        <v>10.81</v>
      </c>
      <c r="J5302" s="1">
        <v>10.24</v>
      </c>
      <c r="K5302" t="s">
        <v>457</v>
      </c>
      <c r="L5302" s="1">
        <v>11.26</v>
      </c>
    </row>
    <row r="5303" spans="1:12">
      <c r="A5303" t="s">
        <v>5391</v>
      </c>
      <c r="B5303">
        <v>379467</v>
      </c>
      <c r="C5303" s="2" t="str">
        <f>"6092N"</f>
        <v>6092N</v>
      </c>
      <c r="D5303" t="s">
        <v>5412</v>
      </c>
      <c r="E5303" t="s">
        <v>4</v>
      </c>
      <c r="F5303">
        <v>0.96</v>
      </c>
      <c r="G5303">
        <v>0.08</v>
      </c>
      <c r="H5303" t="s">
        <v>106</v>
      </c>
      <c r="I5303" s="1">
        <v>5.43</v>
      </c>
      <c r="J5303" s="1">
        <v>5.15</v>
      </c>
      <c r="K5303" t="s">
        <v>457</v>
      </c>
      <c r="L5303" s="1">
        <v>5.66</v>
      </c>
    </row>
    <row r="5304" spans="1:12">
      <c r="A5304" t="s">
        <v>5391</v>
      </c>
      <c r="B5304">
        <v>379469</v>
      </c>
      <c r="C5304" s="2" t="str">
        <f>"6093N"</f>
        <v>6093N</v>
      </c>
      <c r="D5304" t="s">
        <v>5413</v>
      </c>
      <c r="E5304" t="s">
        <v>4</v>
      </c>
      <c r="F5304">
        <v>0.96</v>
      </c>
      <c r="G5304">
        <v>0.08</v>
      </c>
      <c r="H5304" t="s">
        <v>106</v>
      </c>
      <c r="I5304" s="1">
        <v>5.43</v>
      </c>
      <c r="J5304" s="1">
        <v>5.15</v>
      </c>
      <c r="K5304" t="s">
        <v>457</v>
      </c>
      <c r="L5304" s="1">
        <v>5.66</v>
      </c>
    </row>
    <row r="5305" spans="1:12">
      <c r="A5305" t="s">
        <v>5391</v>
      </c>
      <c r="B5305">
        <v>398325</v>
      </c>
      <c r="C5305" s="2" t="str">
        <f>"6096-1"</f>
        <v>6096-1</v>
      </c>
      <c r="D5305" t="s">
        <v>5414</v>
      </c>
      <c r="E5305" t="s">
        <v>4</v>
      </c>
      <c r="F5305">
        <v>12</v>
      </c>
      <c r="G5305">
        <v>1</v>
      </c>
      <c r="H5305" t="s">
        <v>106</v>
      </c>
      <c r="I5305" s="1">
        <v>5.43</v>
      </c>
      <c r="J5305" s="1">
        <v>5.15</v>
      </c>
      <c r="K5305" t="s">
        <v>457</v>
      </c>
      <c r="L5305" s="1">
        <v>5.66</v>
      </c>
    </row>
    <row r="5306" spans="1:12">
      <c r="A5306" t="s">
        <v>5391</v>
      </c>
      <c r="B5306">
        <v>532167</v>
      </c>
      <c r="C5306" s="2" t="str">
        <f>"8018N"</f>
        <v>8018N</v>
      </c>
      <c r="D5306" t="s">
        <v>5415</v>
      </c>
      <c r="E5306" t="s">
        <v>4</v>
      </c>
      <c r="F5306">
        <v>1.5</v>
      </c>
      <c r="G5306">
        <v>0.25</v>
      </c>
      <c r="H5306" t="s">
        <v>20</v>
      </c>
      <c r="I5306" s="1">
        <v>8.4</v>
      </c>
      <c r="J5306" s="1">
        <v>7.96</v>
      </c>
      <c r="K5306" t="s">
        <v>21</v>
      </c>
      <c r="L5306" s="1">
        <v>8.75</v>
      </c>
    </row>
    <row r="5307" spans="1:12">
      <c r="A5307" t="s">
        <v>5391</v>
      </c>
      <c r="B5307">
        <v>452529</v>
      </c>
      <c r="C5307" s="2" t="str">
        <f>"8767"</f>
        <v>8767</v>
      </c>
      <c r="D5307" t="s">
        <v>5416</v>
      </c>
      <c r="E5307" t="s">
        <v>4</v>
      </c>
      <c r="F5307">
        <v>6</v>
      </c>
      <c r="H5307" t="s">
        <v>5</v>
      </c>
      <c r="I5307" s="1">
        <v>139.31</v>
      </c>
      <c r="J5307" s="1">
        <v>131.97999999999999</v>
      </c>
      <c r="K5307" t="s">
        <v>6</v>
      </c>
    </row>
    <row r="5308" spans="1:12">
      <c r="A5308" t="s">
        <v>5391</v>
      </c>
      <c r="B5308">
        <v>469793</v>
      </c>
      <c r="C5308" s="2" t="str">
        <f>"9517L"</f>
        <v>9517L</v>
      </c>
      <c r="D5308" t="s">
        <v>5417</v>
      </c>
      <c r="E5308" t="s">
        <v>4</v>
      </c>
      <c r="F5308">
        <v>1</v>
      </c>
      <c r="H5308" t="s">
        <v>5</v>
      </c>
      <c r="I5308" s="1">
        <v>68.540000000000006</v>
      </c>
      <c r="J5308" s="1">
        <v>64.94</v>
      </c>
      <c r="K5308" t="s">
        <v>6</v>
      </c>
    </row>
    <row r="5309" spans="1:12">
      <c r="A5309" t="s">
        <v>5391</v>
      </c>
      <c r="B5309">
        <v>532191</v>
      </c>
      <c r="C5309" s="2" t="str">
        <f>"9817"</f>
        <v>9817</v>
      </c>
      <c r="D5309" t="s">
        <v>5418</v>
      </c>
      <c r="E5309" t="s">
        <v>4</v>
      </c>
      <c r="F5309">
        <v>1.2</v>
      </c>
      <c r="G5309">
        <v>0.2</v>
      </c>
      <c r="H5309" t="s">
        <v>20</v>
      </c>
      <c r="I5309" s="1">
        <v>72.87</v>
      </c>
      <c r="J5309" s="1">
        <v>69.03</v>
      </c>
      <c r="K5309" t="s">
        <v>21</v>
      </c>
      <c r="L5309" s="1">
        <v>75.930000000000007</v>
      </c>
    </row>
    <row r="5310" spans="1:12">
      <c r="A5310" t="s">
        <v>5391</v>
      </c>
      <c r="B5310">
        <v>554587</v>
      </c>
      <c r="C5310" s="2" t="str">
        <f>"9840RB"</f>
        <v>9840RB</v>
      </c>
      <c r="D5310" t="s">
        <v>5419</v>
      </c>
      <c r="E5310" t="s">
        <v>4</v>
      </c>
      <c r="F5310">
        <v>0.78</v>
      </c>
      <c r="G5310">
        <v>0.13</v>
      </c>
      <c r="H5310" t="s">
        <v>20</v>
      </c>
      <c r="I5310" s="1">
        <v>9.8800000000000008</v>
      </c>
      <c r="J5310" s="1">
        <v>9.36</v>
      </c>
      <c r="K5310" t="s">
        <v>21</v>
      </c>
      <c r="L5310" s="1">
        <v>10.3</v>
      </c>
    </row>
    <row r="5311" spans="1:12">
      <c r="A5311" t="s">
        <v>5391</v>
      </c>
      <c r="B5311">
        <v>405744</v>
      </c>
      <c r="C5311" s="2" t="str">
        <f>"9842FDA"</f>
        <v>9842FDA</v>
      </c>
      <c r="D5311" t="s">
        <v>5420</v>
      </c>
      <c r="E5311" t="s">
        <v>4</v>
      </c>
      <c r="F5311">
        <v>3.78</v>
      </c>
      <c r="G5311">
        <v>0.63</v>
      </c>
      <c r="H5311" t="s">
        <v>20</v>
      </c>
      <c r="I5311" s="1">
        <v>19.760000000000002</v>
      </c>
      <c r="J5311" s="1">
        <v>18.72</v>
      </c>
      <c r="K5311" t="s">
        <v>457</v>
      </c>
      <c r="L5311" s="1">
        <v>20.59</v>
      </c>
    </row>
    <row r="5312" spans="1:12">
      <c r="A5312" t="s">
        <v>5391</v>
      </c>
      <c r="B5312">
        <v>532342</v>
      </c>
      <c r="C5312" s="2" t="str">
        <f>"9848EFDA"</f>
        <v>9848EFDA</v>
      </c>
      <c r="D5312" t="s">
        <v>5421</v>
      </c>
      <c r="E5312" t="s">
        <v>4</v>
      </c>
      <c r="F5312">
        <v>1.02</v>
      </c>
      <c r="G5312">
        <v>0.17</v>
      </c>
      <c r="H5312" t="s">
        <v>20</v>
      </c>
      <c r="I5312" s="1">
        <v>20.38</v>
      </c>
      <c r="J5312" s="1">
        <v>19.309999999999999</v>
      </c>
      <c r="K5312" t="s">
        <v>21</v>
      </c>
      <c r="L5312" s="1">
        <v>21.24</v>
      </c>
    </row>
    <row r="5313" spans="1:12">
      <c r="A5313" t="s">
        <v>5391</v>
      </c>
      <c r="B5313">
        <v>396857</v>
      </c>
      <c r="C5313" s="2" t="str">
        <f>"9999"</f>
        <v>9999</v>
      </c>
      <c r="D5313" t="s">
        <v>5422</v>
      </c>
      <c r="E5313" t="s">
        <v>4</v>
      </c>
      <c r="F5313">
        <v>3</v>
      </c>
      <c r="H5313" t="s">
        <v>5</v>
      </c>
      <c r="I5313" s="1">
        <v>49.4</v>
      </c>
      <c r="J5313" s="1">
        <v>46.8</v>
      </c>
      <c r="K5313" t="s">
        <v>6</v>
      </c>
    </row>
    <row r="5314" spans="1:12">
      <c r="A5314" t="s">
        <v>5391</v>
      </c>
      <c r="B5314">
        <v>469792</v>
      </c>
      <c r="C5314" s="2" t="str">
        <f>"TE10R"</f>
        <v>TE10R</v>
      </c>
      <c r="D5314" t="s">
        <v>5423</v>
      </c>
      <c r="E5314" t="s">
        <v>4</v>
      </c>
      <c r="F5314">
        <v>3.6</v>
      </c>
      <c r="H5314" t="s">
        <v>5</v>
      </c>
      <c r="I5314" s="1">
        <v>190.13</v>
      </c>
      <c r="J5314" s="1">
        <v>161.61000000000001</v>
      </c>
      <c r="K5314" t="s">
        <v>6</v>
      </c>
    </row>
    <row r="5315" spans="1:12">
      <c r="A5315" t="s">
        <v>5391</v>
      </c>
      <c r="B5315">
        <v>460125</v>
      </c>
      <c r="C5315" s="2" t="str">
        <f>"TE150"</f>
        <v>TE150</v>
      </c>
      <c r="D5315" t="s">
        <v>5424</v>
      </c>
      <c r="E5315" t="s">
        <v>4</v>
      </c>
      <c r="F5315">
        <v>11.6</v>
      </c>
      <c r="H5315" t="s">
        <v>5</v>
      </c>
      <c r="I5315" s="1">
        <v>171.41</v>
      </c>
      <c r="J5315" s="1">
        <v>145.69</v>
      </c>
      <c r="K5315" t="s">
        <v>6</v>
      </c>
    </row>
    <row r="5316" spans="1:12">
      <c r="A5316" t="s">
        <v>5391</v>
      </c>
      <c r="B5316">
        <v>487047</v>
      </c>
      <c r="C5316" s="2" t="str">
        <f>"TE-22"</f>
        <v>TE-22</v>
      </c>
      <c r="D5316" t="s">
        <v>5425</v>
      </c>
      <c r="E5316" t="s">
        <v>4</v>
      </c>
      <c r="F5316">
        <v>3.35</v>
      </c>
      <c r="H5316" t="s">
        <v>5</v>
      </c>
      <c r="I5316" s="1">
        <v>96.53</v>
      </c>
      <c r="J5316" s="1">
        <v>82.05</v>
      </c>
      <c r="K5316" t="s">
        <v>6</v>
      </c>
    </row>
    <row r="5317" spans="1:12">
      <c r="A5317" t="s">
        <v>5391</v>
      </c>
      <c r="B5317">
        <v>487046</v>
      </c>
      <c r="C5317" s="2" t="str">
        <f>"TE-32C"</f>
        <v>TE-32C</v>
      </c>
      <c r="D5317" t="s">
        <v>5426</v>
      </c>
      <c r="E5317" t="s">
        <v>4</v>
      </c>
      <c r="F5317">
        <v>2.04</v>
      </c>
      <c r="H5317" t="s">
        <v>5</v>
      </c>
      <c r="I5317" s="1">
        <v>59.67</v>
      </c>
      <c r="J5317" s="1">
        <v>50.72</v>
      </c>
      <c r="K5317" t="s">
        <v>6</v>
      </c>
    </row>
    <row r="5318" spans="1:12">
      <c r="A5318" t="s">
        <v>5391</v>
      </c>
      <c r="B5318">
        <v>460123</v>
      </c>
      <c r="C5318" s="2" t="str">
        <f>"THD32D"</f>
        <v>THD32D</v>
      </c>
      <c r="D5318" t="s">
        <v>5427</v>
      </c>
      <c r="E5318" t="s">
        <v>4</v>
      </c>
      <c r="F5318">
        <v>8</v>
      </c>
      <c r="H5318" t="s">
        <v>5</v>
      </c>
      <c r="I5318" s="1">
        <v>145.08000000000001</v>
      </c>
      <c r="J5318" s="1">
        <v>123.32</v>
      </c>
      <c r="K5318" t="s">
        <v>6</v>
      </c>
    </row>
    <row r="5319" spans="1:12">
      <c r="A5319" t="s">
        <v>5391</v>
      </c>
      <c r="B5319">
        <v>460122</v>
      </c>
      <c r="C5319" s="2" t="str">
        <f>"THD50"</f>
        <v>THD50</v>
      </c>
      <c r="D5319" t="s">
        <v>5428</v>
      </c>
      <c r="E5319" t="s">
        <v>4</v>
      </c>
      <c r="F5319">
        <v>8</v>
      </c>
      <c r="H5319" t="s">
        <v>5</v>
      </c>
      <c r="I5319" s="1">
        <v>134.55000000000001</v>
      </c>
      <c r="J5319" s="1">
        <v>114.37</v>
      </c>
      <c r="K5319" t="s">
        <v>6</v>
      </c>
    </row>
    <row r="5320" spans="1:12">
      <c r="A5320" t="s">
        <v>5391</v>
      </c>
      <c r="B5320">
        <v>460121</v>
      </c>
      <c r="C5320" s="2" t="str">
        <f>"TP16FF"</f>
        <v>TP16FF</v>
      </c>
      <c r="D5320" t="s">
        <v>5429</v>
      </c>
      <c r="E5320" t="s">
        <v>4</v>
      </c>
      <c r="F5320">
        <v>1.75</v>
      </c>
      <c r="H5320" t="s">
        <v>5</v>
      </c>
      <c r="I5320" s="1">
        <v>33.93</v>
      </c>
      <c r="J5320" s="1">
        <v>28.84</v>
      </c>
      <c r="K5320" t="s">
        <v>6</v>
      </c>
    </row>
    <row r="5321" spans="1:12">
      <c r="A5321" t="s">
        <v>5391</v>
      </c>
      <c r="B5321">
        <v>460120</v>
      </c>
      <c r="C5321" s="2" t="str">
        <f>"TP32"</f>
        <v>TP32</v>
      </c>
      <c r="D5321" t="s">
        <v>5430</v>
      </c>
      <c r="E5321" t="s">
        <v>4</v>
      </c>
      <c r="F5321">
        <v>1.63</v>
      </c>
      <c r="H5321" t="s">
        <v>5</v>
      </c>
      <c r="I5321" s="1">
        <v>33.93</v>
      </c>
      <c r="J5321" s="1">
        <v>28.84</v>
      </c>
      <c r="K5321" t="s">
        <v>6</v>
      </c>
    </row>
    <row r="5322" spans="1:12">
      <c r="A5322" t="s">
        <v>5391</v>
      </c>
      <c r="B5322">
        <v>460126</v>
      </c>
      <c r="C5322" s="2" t="str">
        <f>"TR250SS"</f>
        <v>TR250SS</v>
      </c>
      <c r="D5322" t="s">
        <v>5431</v>
      </c>
      <c r="E5322" t="s">
        <v>4</v>
      </c>
      <c r="F5322">
        <v>13</v>
      </c>
      <c r="H5322" t="s">
        <v>5</v>
      </c>
      <c r="I5322" s="1">
        <v>104.72</v>
      </c>
      <c r="J5322" s="1">
        <v>89.01</v>
      </c>
      <c r="K5322" t="s">
        <v>6</v>
      </c>
    </row>
    <row r="5323" spans="1:12">
      <c r="A5323" t="s">
        <v>5391</v>
      </c>
      <c r="B5323">
        <v>460117</v>
      </c>
      <c r="C5323" s="2" t="str">
        <f>"TS25KL"</f>
        <v>TS25KL</v>
      </c>
      <c r="D5323" t="s">
        <v>5432</v>
      </c>
      <c r="E5323" t="s">
        <v>4</v>
      </c>
      <c r="F5323">
        <v>4.5</v>
      </c>
      <c r="H5323" t="s">
        <v>5</v>
      </c>
      <c r="I5323" s="1">
        <v>72.540000000000006</v>
      </c>
      <c r="J5323" s="1">
        <v>61.66</v>
      </c>
      <c r="K5323" t="s">
        <v>6</v>
      </c>
    </row>
    <row r="5324" spans="1:12">
      <c r="A5324" t="s">
        <v>5391</v>
      </c>
      <c r="B5324">
        <v>460115</v>
      </c>
      <c r="C5324" s="2" t="str">
        <f>"TS32"</f>
        <v>TS32</v>
      </c>
      <c r="D5324" t="s">
        <v>5433</v>
      </c>
      <c r="E5324" t="s">
        <v>4</v>
      </c>
      <c r="F5324">
        <v>5.0999999999999996</v>
      </c>
      <c r="H5324" t="s">
        <v>5</v>
      </c>
      <c r="I5324" s="1">
        <v>69.03</v>
      </c>
      <c r="J5324" s="1">
        <v>58.68</v>
      </c>
      <c r="K5324" t="s">
        <v>6</v>
      </c>
    </row>
    <row r="5325" spans="1:12">
      <c r="A5325" t="s">
        <v>5391</v>
      </c>
      <c r="B5325">
        <v>460116</v>
      </c>
      <c r="C5325" s="2" t="str">
        <f>"TS5"</f>
        <v>TS5</v>
      </c>
      <c r="D5325" t="s">
        <v>5434</v>
      </c>
      <c r="E5325" t="s">
        <v>4</v>
      </c>
      <c r="F5325">
        <v>4.5</v>
      </c>
      <c r="H5325" t="s">
        <v>5</v>
      </c>
      <c r="I5325" s="1">
        <v>70.2</v>
      </c>
      <c r="J5325" s="1">
        <v>59.67</v>
      </c>
      <c r="K5325" t="s">
        <v>6</v>
      </c>
    </row>
    <row r="5326" spans="1:12">
      <c r="A5326" t="s">
        <v>5391</v>
      </c>
      <c r="B5326">
        <v>460118</v>
      </c>
      <c r="C5326" s="2" t="str">
        <f>"TS50"</f>
        <v>TS50</v>
      </c>
      <c r="D5326" t="s">
        <v>5435</v>
      </c>
      <c r="E5326" t="s">
        <v>4</v>
      </c>
      <c r="F5326">
        <v>5.0999999999999996</v>
      </c>
      <c r="H5326" t="s">
        <v>5</v>
      </c>
      <c r="I5326" s="1">
        <v>74.88</v>
      </c>
      <c r="J5326" s="1">
        <v>63.65</v>
      </c>
      <c r="K5326" t="s">
        <v>6</v>
      </c>
    </row>
    <row r="5327" spans="1:12">
      <c r="A5327" t="s">
        <v>5436</v>
      </c>
      <c r="B5327">
        <v>379605</v>
      </c>
      <c r="C5327" s="2" t="str">
        <f>"168-476"</f>
        <v>168-476</v>
      </c>
      <c r="D5327" t="s">
        <v>5437</v>
      </c>
      <c r="E5327" t="s">
        <v>4</v>
      </c>
      <c r="F5327">
        <v>9.6</v>
      </c>
      <c r="G5327">
        <v>0.8</v>
      </c>
      <c r="H5327" t="s">
        <v>106</v>
      </c>
      <c r="I5327" s="1">
        <v>3.9</v>
      </c>
      <c r="J5327" s="1">
        <v>3.8</v>
      </c>
      <c r="K5327" t="s">
        <v>457</v>
      </c>
      <c r="L5327" s="1">
        <v>4.18</v>
      </c>
    </row>
    <row r="5328" spans="1:12">
      <c r="A5328" t="s">
        <v>5436</v>
      </c>
      <c r="B5328">
        <v>379612</v>
      </c>
      <c r="C5328" s="2" t="str">
        <f>"171-876"</f>
        <v>171-876</v>
      </c>
      <c r="D5328" t="s">
        <v>5438</v>
      </c>
      <c r="E5328" t="s">
        <v>4</v>
      </c>
      <c r="F5328">
        <v>22.2</v>
      </c>
      <c r="G5328">
        <v>3.7</v>
      </c>
      <c r="H5328" t="s">
        <v>20</v>
      </c>
      <c r="I5328" s="1">
        <v>14.99</v>
      </c>
      <c r="J5328" s="1">
        <v>14.59</v>
      </c>
      <c r="K5328" t="s">
        <v>457</v>
      </c>
      <c r="L5328" s="1">
        <v>16.04</v>
      </c>
    </row>
    <row r="5329" spans="1:12">
      <c r="A5329" t="s">
        <v>5436</v>
      </c>
      <c r="B5329">
        <v>379614</v>
      </c>
      <c r="C5329" s="2" t="str">
        <f>"173-070"</f>
        <v>173-070</v>
      </c>
      <c r="D5329" t="s">
        <v>5439</v>
      </c>
      <c r="E5329" t="s">
        <v>4</v>
      </c>
      <c r="F5329">
        <v>30</v>
      </c>
      <c r="G5329">
        <v>5</v>
      </c>
      <c r="H5329" t="s">
        <v>20</v>
      </c>
      <c r="I5329" s="1">
        <v>20.79</v>
      </c>
      <c r="J5329" s="1">
        <v>20.23</v>
      </c>
      <c r="K5329" t="s">
        <v>457</v>
      </c>
      <c r="L5329" s="1">
        <v>22.25</v>
      </c>
    </row>
    <row r="5330" spans="1:12">
      <c r="A5330" t="s">
        <v>5436</v>
      </c>
      <c r="B5330">
        <v>379620</v>
      </c>
      <c r="C5330" s="2" t="str">
        <f>"173-724"</f>
        <v>173-724</v>
      </c>
      <c r="D5330" t="s">
        <v>5440</v>
      </c>
      <c r="E5330" t="s">
        <v>4</v>
      </c>
      <c r="F5330">
        <v>45</v>
      </c>
      <c r="G5330">
        <v>7.5</v>
      </c>
      <c r="H5330" t="s">
        <v>20</v>
      </c>
      <c r="I5330" s="1">
        <v>29.42</v>
      </c>
      <c r="J5330" s="1">
        <v>28.61</v>
      </c>
      <c r="K5330" t="s">
        <v>457</v>
      </c>
      <c r="L5330" s="1">
        <v>31.47</v>
      </c>
    </row>
    <row r="5331" spans="1:12">
      <c r="A5331" t="s">
        <v>5436</v>
      </c>
      <c r="B5331">
        <v>369469</v>
      </c>
      <c r="C5331" s="2" t="str">
        <f>"182-766"</f>
        <v>182-766</v>
      </c>
      <c r="D5331" t="s">
        <v>5441</v>
      </c>
      <c r="E5331" t="s">
        <v>4</v>
      </c>
      <c r="F5331">
        <v>41</v>
      </c>
      <c r="H5331" t="s">
        <v>5</v>
      </c>
      <c r="I5331" s="1">
        <v>158.44</v>
      </c>
      <c r="J5331" s="1">
        <v>154.15</v>
      </c>
      <c r="K5331" t="s">
        <v>6</v>
      </c>
    </row>
    <row r="5332" spans="1:12">
      <c r="A5332" t="s">
        <v>5436</v>
      </c>
      <c r="B5332">
        <v>369491</v>
      </c>
      <c r="C5332" s="2" t="str">
        <f>"436-931"</f>
        <v>436-931</v>
      </c>
      <c r="D5332" t="s">
        <v>5442</v>
      </c>
      <c r="E5332" t="s">
        <v>4</v>
      </c>
      <c r="F5332">
        <v>20</v>
      </c>
      <c r="H5332" t="s">
        <v>5</v>
      </c>
      <c r="I5332" s="1">
        <v>66.78</v>
      </c>
      <c r="J5332" s="1">
        <v>64.989999999999995</v>
      </c>
      <c r="K5332" t="s">
        <v>6</v>
      </c>
    </row>
    <row r="5333" spans="1:12">
      <c r="A5333" t="s">
        <v>5436</v>
      </c>
      <c r="B5333">
        <v>379622</v>
      </c>
      <c r="C5333" s="2" t="str">
        <f>"437-521"</f>
        <v>437-521</v>
      </c>
      <c r="D5333" t="s">
        <v>5443</v>
      </c>
      <c r="E5333" t="s">
        <v>4</v>
      </c>
      <c r="F5333">
        <v>1</v>
      </c>
      <c r="H5333" t="s">
        <v>5</v>
      </c>
      <c r="I5333" s="1">
        <v>30.34</v>
      </c>
      <c r="J5333" s="1">
        <v>29.52</v>
      </c>
      <c r="K5333" t="s">
        <v>6</v>
      </c>
    </row>
    <row r="5334" spans="1:12">
      <c r="A5334" t="s">
        <v>5436</v>
      </c>
      <c r="B5334">
        <v>379626</v>
      </c>
      <c r="C5334" s="2" t="str">
        <f>"724-311"</f>
        <v>724-311</v>
      </c>
      <c r="D5334" t="s">
        <v>5444</v>
      </c>
      <c r="E5334" t="s">
        <v>4</v>
      </c>
      <c r="F5334">
        <v>10</v>
      </c>
      <c r="G5334">
        <v>2</v>
      </c>
      <c r="H5334" t="s">
        <v>151</v>
      </c>
      <c r="I5334" s="1">
        <v>39.229999999999997</v>
      </c>
      <c r="J5334" s="1">
        <v>38.18</v>
      </c>
      <c r="K5334" t="s">
        <v>457</v>
      </c>
      <c r="L5334" s="1">
        <v>42</v>
      </c>
    </row>
    <row r="5335" spans="1:12">
      <c r="A5335" t="s">
        <v>5436</v>
      </c>
      <c r="B5335">
        <v>379624</v>
      </c>
      <c r="C5335" s="2" t="str">
        <f>"725-369"</f>
        <v>725-369</v>
      </c>
      <c r="D5335" t="s">
        <v>5445</v>
      </c>
      <c r="E5335" t="s">
        <v>4</v>
      </c>
      <c r="F5335">
        <v>10</v>
      </c>
      <c r="G5335">
        <v>1</v>
      </c>
      <c r="H5335" t="s">
        <v>108</v>
      </c>
      <c r="I5335" s="1">
        <v>20.92</v>
      </c>
      <c r="J5335" s="1">
        <v>20.350000000000001</v>
      </c>
      <c r="K5335" t="s">
        <v>457</v>
      </c>
      <c r="L5335" s="1">
        <v>22.38</v>
      </c>
    </row>
    <row r="5336" spans="1:12">
      <c r="A5336" t="s">
        <v>5436</v>
      </c>
      <c r="B5336">
        <v>392470</v>
      </c>
      <c r="C5336" s="2" t="str">
        <f>"755-101"</f>
        <v>755-101</v>
      </c>
      <c r="D5336" t="s">
        <v>5446</v>
      </c>
      <c r="E5336" t="s">
        <v>4</v>
      </c>
      <c r="F5336">
        <v>23</v>
      </c>
      <c r="H5336" t="s">
        <v>5</v>
      </c>
      <c r="I5336" s="1">
        <v>68.510000000000005</v>
      </c>
      <c r="J5336" s="1">
        <v>66.650000000000006</v>
      </c>
      <c r="K5336" t="s">
        <v>6</v>
      </c>
    </row>
    <row r="5337" spans="1:12">
      <c r="A5337" t="s">
        <v>5447</v>
      </c>
      <c r="B5337">
        <v>570918</v>
      </c>
      <c r="C5337" s="2" t="str">
        <f>"T-9014-4C-A"</f>
        <v>T-9014-4C-A</v>
      </c>
      <c r="D5337" t="s">
        <v>5448</v>
      </c>
      <c r="E5337" t="s">
        <v>4</v>
      </c>
      <c r="F5337">
        <v>7.1</v>
      </c>
      <c r="H5337" t="s">
        <v>5</v>
      </c>
      <c r="I5337" s="1">
        <v>61.09</v>
      </c>
      <c r="J5337" s="1">
        <v>61.09</v>
      </c>
      <c r="K5337" t="s">
        <v>6</v>
      </c>
    </row>
    <row r="5338" spans="1:12">
      <c r="A5338" t="s">
        <v>5447</v>
      </c>
      <c r="B5338">
        <v>570932</v>
      </c>
      <c r="C5338" s="2" t="str">
        <f>"T-9071-14OZ-6C"</f>
        <v>T-9071-14OZ-6C</v>
      </c>
      <c r="D5338" t="s">
        <v>5449</v>
      </c>
      <c r="E5338" t="s">
        <v>4</v>
      </c>
      <c r="F5338">
        <v>7.3</v>
      </c>
      <c r="H5338" t="s">
        <v>5</v>
      </c>
      <c r="I5338" s="1">
        <v>66.290000000000006</v>
      </c>
      <c r="J5338" s="1">
        <v>66.290000000000006</v>
      </c>
      <c r="K5338" t="s">
        <v>6</v>
      </c>
    </row>
    <row r="5339" spans="1:12">
      <c r="A5339" t="s">
        <v>5447</v>
      </c>
      <c r="B5339">
        <v>570934</v>
      </c>
      <c r="C5339" s="2" t="str">
        <f>"T-9072-14OZ-6C"</f>
        <v>T-9072-14OZ-6C</v>
      </c>
      <c r="D5339" t="s">
        <v>5450</v>
      </c>
      <c r="E5339" t="s">
        <v>4</v>
      </c>
      <c r="F5339">
        <v>7.2</v>
      </c>
      <c r="H5339" t="s">
        <v>5</v>
      </c>
      <c r="I5339" s="1">
        <v>66.290000000000006</v>
      </c>
      <c r="J5339" s="1">
        <v>66.290000000000006</v>
      </c>
      <c r="K5339" t="s">
        <v>6</v>
      </c>
    </row>
    <row r="5340" spans="1:12">
      <c r="A5340" t="s">
        <v>5447</v>
      </c>
      <c r="B5340">
        <v>570936</v>
      </c>
      <c r="C5340" s="2" t="str">
        <f>"T-9073-14OZ-6C"</f>
        <v>T-9073-14OZ-6C</v>
      </c>
      <c r="D5340" t="s">
        <v>5451</v>
      </c>
      <c r="E5340" t="s">
        <v>4</v>
      </c>
      <c r="F5340">
        <v>7.2</v>
      </c>
      <c r="H5340" t="s">
        <v>5</v>
      </c>
      <c r="I5340" s="1">
        <v>66.290000000000006</v>
      </c>
      <c r="J5340" s="1">
        <v>66.290000000000006</v>
      </c>
      <c r="K5340" t="s">
        <v>6</v>
      </c>
    </row>
    <row r="5341" spans="1:12">
      <c r="A5341" t="s">
        <v>5447</v>
      </c>
      <c r="B5341">
        <v>570926</v>
      </c>
      <c r="C5341" s="2" t="str">
        <f>"T-9075-16OA-6C"</f>
        <v>T-9075-16OA-6C</v>
      </c>
      <c r="D5341" t="s">
        <v>5452</v>
      </c>
      <c r="E5341" t="s">
        <v>4</v>
      </c>
      <c r="F5341">
        <v>8</v>
      </c>
      <c r="H5341" t="s">
        <v>5</v>
      </c>
      <c r="I5341" s="1">
        <v>85.79</v>
      </c>
      <c r="J5341" s="1">
        <v>85.79</v>
      </c>
      <c r="K5341" t="s">
        <v>6</v>
      </c>
    </row>
    <row r="5342" spans="1:12">
      <c r="A5342" t="s">
        <v>5447</v>
      </c>
      <c r="B5342">
        <v>570925</v>
      </c>
      <c r="C5342" s="2" t="str">
        <f>"T-9077-1GA-BPSA"</f>
        <v>T-9077-1GA-BPSA</v>
      </c>
      <c r="D5342" t="s">
        <v>5453</v>
      </c>
      <c r="E5342" t="s">
        <v>4</v>
      </c>
      <c r="F5342">
        <v>10</v>
      </c>
      <c r="H5342" t="s">
        <v>5</v>
      </c>
      <c r="I5342" s="1">
        <v>92.29</v>
      </c>
      <c r="J5342" s="1">
        <v>92.29</v>
      </c>
      <c r="K5342" t="s">
        <v>6</v>
      </c>
    </row>
    <row r="5343" spans="1:12">
      <c r="A5343" t="s">
        <v>5454</v>
      </c>
      <c r="B5343">
        <v>482638</v>
      </c>
      <c r="C5343" s="2" t="str">
        <f>"130136"</f>
        <v>130136</v>
      </c>
      <c r="D5343" t="s">
        <v>5455</v>
      </c>
      <c r="E5343" t="s">
        <v>4</v>
      </c>
      <c r="F5343">
        <v>19.2</v>
      </c>
      <c r="G5343">
        <v>0.8</v>
      </c>
      <c r="H5343" t="s">
        <v>666</v>
      </c>
      <c r="I5343" s="1">
        <v>4.88</v>
      </c>
      <c r="J5343" s="1">
        <v>4.78</v>
      </c>
      <c r="K5343" t="s">
        <v>1870</v>
      </c>
      <c r="L5343" s="1">
        <v>5.26</v>
      </c>
    </row>
    <row r="5344" spans="1:12">
      <c r="A5344" t="s">
        <v>5454</v>
      </c>
      <c r="B5344">
        <v>482640</v>
      </c>
      <c r="C5344" s="2" t="str">
        <f>"160107"</f>
        <v>160107</v>
      </c>
      <c r="D5344" t="s">
        <v>5456</v>
      </c>
      <c r="E5344" t="s">
        <v>4</v>
      </c>
      <c r="F5344">
        <v>2.16</v>
      </c>
      <c r="G5344">
        <v>0.36</v>
      </c>
      <c r="H5344" t="s">
        <v>20</v>
      </c>
      <c r="I5344" s="1">
        <v>5.89</v>
      </c>
      <c r="J5344" s="1">
        <v>5.77</v>
      </c>
      <c r="K5344" t="s">
        <v>21</v>
      </c>
      <c r="L5344" s="1">
        <v>6.35</v>
      </c>
    </row>
    <row r="5345" spans="1:12">
      <c r="A5345" t="s">
        <v>5454</v>
      </c>
      <c r="B5345">
        <v>482639</v>
      </c>
      <c r="C5345" s="2" t="str">
        <f>"160162"</f>
        <v>160162</v>
      </c>
      <c r="D5345" t="s">
        <v>5457</v>
      </c>
      <c r="E5345" t="s">
        <v>4</v>
      </c>
      <c r="F5345">
        <v>2.4</v>
      </c>
      <c r="H5345" t="s">
        <v>5</v>
      </c>
      <c r="I5345" s="1">
        <v>28.8</v>
      </c>
      <c r="J5345" s="1">
        <v>28.24</v>
      </c>
      <c r="K5345" t="s">
        <v>6</v>
      </c>
    </row>
    <row r="5346" spans="1:12">
      <c r="A5346" t="s">
        <v>5454</v>
      </c>
      <c r="B5346">
        <v>557854</v>
      </c>
      <c r="C5346" s="2" t="str">
        <f>"220206"</f>
        <v>220206</v>
      </c>
      <c r="D5346" t="s">
        <v>5458</v>
      </c>
      <c r="E5346" t="s">
        <v>4</v>
      </c>
      <c r="F5346">
        <v>6.96</v>
      </c>
      <c r="G5346">
        <v>1.1599999999999999</v>
      </c>
      <c r="H5346" t="s">
        <v>20</v>
      </c>
      <c r="I5346" s="1">
        <v>8.92</v>
      </c>
      <c r="J5346" s="1">
        <v>8.75</v>
      </c>
      <c r="K5346" t="s">
        <v>21</v>
      </c>
      <c r="L5346" s="1">
        <v>9.6199999999999992</v>
      </c>
    </row>
    <row r="5347" spans="1:12">
      <c r="A5347" t="s">
        <v>5454</v>
      </c>
      <c r="B5347">
        <v>489482</v>
      </c>
      <c r="C5347" s="2" t="str">
        <f>"220237"</f>
        <v>220237</v>
      </c>
      <c r="D5347" t="s">
        <v>5459</v>
      </c>
      <c r="E5347" t="s">
        <v>4</v>
      </c>
      <c r="F5347">
        <v>7.5</v>
      </c>
      <c r="G5347">
        <v>1.25</v>
      </c>
      <c r="H5347" t="s">
        <v>20</v>
      </c>
      <c r="I5347" s="1">
        <v>23.8</v>
      </c>
      <c r="J5347" s="1">
        <v>23.35</v>
      </c>
      <c r="K5347" t="s">
        <v>1274</v>
      </c>
      <c r="L5347" s="1">
        <v>25.68</v>
      </c>
    </row>
    <row r="5348" spans="1:12">
      <c r="A5348" t="s">
        <v>5454</v>
      </c>
      <c r="B5348">
        <v>489481</v>
      </c>
      <c r="C5348" s="2" t="str">
        <f>"220238"</f>
        <v>220238</v>
      </c>
      <c r="D5348" t="s">
        <v>5460</v>
      </c>
      <c r="E5348" t="s">
        <v>4</v>
      </c>
      <c r="F5348">
        <v>7.5</v>
      </c>
      <c r="G5348">
        <v>1.25</v>
      </c>
      <c r="H5348" t="s">
        <v>20</v>
      </c>
      <c r="I5348" s="1">
        <v>23.8</v>
      </c>
      <c r="J5348" s="1">
        <v>23.35</v>
      </c>
      <c r="K5348" t="s">
        <v>1274</v>
      </c>
      <c r="L5348" s="1">
        <v>25.68</v>
      </c>
    </row>
    <row r="5349" spans="1:12">
      <c r="A5349" t="s">
        <v>5454</v>
      </c>
      <c r="B5349">
        <v>482646</v>
      </c>
      <c r="C5349" s="2" t="str">
        <f>"220300"</f>
        <v>220300</v>
      </c>
      <c r="D5349" t="s">
        <v>5461</v>
      </c>
      <c r="E5349" t="s">
        <v>4</v>
      </c>
      <c r="F5349">
        <v>32</v>
      </c>
      <c r="H5349" t="s">
        <v>5</v>
      </c>
      <c r="I5349" s="1">
        <v>107.06</v>
      </c>
      <c r="J5349" s="1">
        <v>104.99</v>
      </c>
      <c r="K5349" t="s">
        <v>6</v>
      </c>
    </row>
    <row r="5350" spans="1:12">
      <c r="A5350" t="s">
        <v>5454</v>
      </c>
      <c r="B5350">
        <v>531832</v>
      </c>
      <c r="C5350" s="2" t="str">
        <f>"220306"</f>
        <v>220306</v>
      </c>
      <c r="D5350" t="s">
        <v>5462</v>
      </c>
      <c r="E5350" t="s">
        <v>4</v>
      </c>
      <c r="F5350">
        <v>24</v>
      </c>
      <c r="G5350">
        <v>2</v>
      </c>
      <c r="H5350" t="s">
        <v>106</v>
      </c>
      <c r="I5350" s="1">
        <v>1.72</v>
      </c>
      <c r="J5350" s="1">
        <v>1.68</v>
      </c>
      <c r="K5350" t="s">
        <v>21</v>
      </c>
      <c r="L5350" s="1">
        <v>1.84</v>
      </c>
    </row>
    <row r="5351" spans="1:12">
      <c r="A5351" t="s">
        <v>5454</v>
      </c>
      <c r="B5351">
        <v>531833</v>
      </c>
      <c r="C5351" s="2" t="str">
        <f>"220311"</f>
        <v>220311</v>
      </c>
      <c r="D5351" t="s">
        <v>5463</v>
      </c>
      <c r="E5351" t="s">
        <v>4</v>
      </c>
      <c r="F5351">
        <v>7.8</v>
      </c>
      <c r="G5351">
        <v>1</v>
      </c>
      <c r="H5351" t="s">
        <v>20</v>
      </c>
      <c r="I5351" s="1">
        <v>20.309999999999999</v>
      </c>
      <c r="J5351" s="1">
        <v>19.920000000000002</v>
      </c>
      <c r="K5351" t="s">
        <v>21</v>
      </c>
      <c r="L5351" s="1">
        <v>21.91</v>
      </c>
    </row>
    <row r="5352" spans="1:12">
      <c r="A5352" t="s">
        <v>5454</v>
      </c>
      <c r="B5352">
        <v>531834</v>
      </c>
      <c r="C5352" s="2" t="str">
        <f>"220314"</f>
        <v>220314</v>
      </c>
      <c r="D5352" t="s">
        <v>5464</v>
      </c>
      <c r="E5352" t="s">
        <v>4</v>
      </c>
      <c r="F5352">
        <v>24</v>
      </c>
      <c r="G5352">
        <v>1.75</v>
      </c>
      <c r="H5352" t="s">
        <v>106</v>
      </c>
      <c r="I5352" s="1">
        <v>31.81</v>
      </c>
      <c r="J5352" s="1">
        <v>31.2</v>
      </c>
      <c r="K5352" t="s">
        <v>21</v>
      </c>
      <c r="L5352" s="1">
        <v>34.32</v>
      </c>
    </row>
    <row r="5353" spans="1:12">
      <c r="A5353" t="s">
        <v>5454</v>
      </c>
      <c r="B5353">
        <v>568434</v>
      </c>
      <c r="C5353" s="2" t="str">
        <f>"221146"</f>
        <v>221146</v>
      </c>
      <c r="D5353" t="s">
        <v>5465</v>
      </c>
      <c r="E5353" t="s">
        <v>4</v>
      </c>
      <c r="F5353">
        <v>2</v>
      </c>
      <c r="H5353" t="s">
        <v>5</v>
      </c>
      <c r="I5353" s="1">
        <v>15.28</v>
      </c>
      <c r="J5353" s="1">
        <v>14.98</v>
      </c>
      <c r="K5353" t="s">
        <v>6</v>
      </c>
    </row>
    <row r="5354" spans="1:12">
      <c r="A5354" t="s">
        <v>5454</v>
      </c>
      <c r="B5354">
        <v>568433</v>
      </c>
      <c r="C5354" s="2" t="str">
        <f>"221149"</f>
        <v>221149</v>
      </c>
      <c r="D5354" t="s">
        <v>5466</v>
      </c>
      <c r="E5354" t="s">
        <v>4</v>
      </c>
      <c r="F5354">
        <v>2</v>
      </c>
      <c r="H5354" t="s">
        <v>5</v>
      </c>
      <c r="I5354" s="1">
        <v>15.28</v>
      </c>
      <c r="J5354" s="1">
        <v>14.98</v>
      </c>
      <c r="K5354" t="s">
        <v>6</v>
      </c>
    </row>
    <row r="5355" spans="1:12">
      <c r="A5355" t="s">
        <v>5454</v>
      </c>
      <c r="B5355">
        <v>482647</v>
      </c>
      <c r="C5355" s="2" t="str">
        <f>"230100"</f>
        <v>230100</v>
      </c>
      <c r="D5355" t="s">
        <v>5467</v>
      </c>
      <c r="E5355" t="s">
        <v>4</v>
      </c>
      <c r="F5355">
        <v>4.32</v>
      </c>
      <c r="G5355">
        <v>0.72</v>
      </c>
      <c r="H5355" t="s">
        <v>20</v>
      </c>
      <c r="I5355" s="1">
        <v>8.92</v>
      </c>
      <c r="J5355" s="1">
        <v>8.75</v>
      </c>
      <c r="K5355" t="s">
        <v>21</v>
      </c>
      <c r="L5355" s="1">
        <v>9.6199999999999992</v>
      </c>
    </row>
    <row r="5356" spans="1:12">
      <c r="A5356" t="s">
        <v>5454</v>
      </c>
      <c r="B5356">
        <v>482648</v>
      </c>
      <c r="C5356" s="2" t="str">
        <f>"230101"</f>
        <v>230101</v>
      </c>
      <c r="D5356" t="s">
        <v>5468</v>
      </c>
      <c r="E5356" t="s">
        <v>4</v>
      </c>
      <c r="F5356">
        <v>8.2799999999999994</v>
      </c>
      <c r="G5356">
        <v>1.38</v>
      </c>
      <c r="H5356" t="s">
        <v>20</v>
      </c>
      <c r="I5356" s="1">
        <v>16.850000000000001</v>
      </c>
      <c r="J5356" s="1">
        <v>16.52</v>
      </c>
      <c r="K5356" t="s">
        <v>21</v>
      </c>
      <c r="L5356" s="1">
        <v>18.18</v>
      </c>
    </row>
    <row r="5357" spans="1:12">
      <c r="A5357" t="s">
        <v>5454</v>
      </c>
      <c r="B5357">
        <v>482649</v>
      </c>
      <c r="C5357" s="2" t="str">
        <f>"230108"</f>
        <v>230108</v>
      </c>
      <c r="D5357" t="s">
        <v>5469</v>
      </c>
      <c r="E5357" t="s">
        <v>4</v>
      </c>
      <c r="F5357">
        <v>28.02</v>
      </c>
      <c r="G5357">
        <v>4.67</v>
      </c>
      <c r="H5357" t="s">
        <v>20</v>
      </c>
      <c r="I5357" s="1">
        <v>30.73</v>
      </c>
      <c r="J5357" s="1">
        <v>30.13</v>
      </c>
      <c r="K5357" t="s">
        <v>21</v>
      </c>
      <c r="L5357" s="1">
        <v>33.15</v>
      </c>
    </row>
    <row r="5358" spans="1:12">
      <c r="A5358" t="s">
        <v>5454</v>
      </c>
      <c r="B5358">
        <v>482650</v>
      </c>
      <c r="C5358" s="2" t="str">
        <f>"230109"</f>
        <v>230109</v>
      </c>
      <c r="D5358" t="s">
        <v>5470</v>
      </c>
      <c r="E5358" t="s">
        <v>4</v>
      </c>
      <c r="F5358">
        <v>40.98</v>
      </c>
      <c r="G5358">
        <v>6.83</v>
      </c>
      <c r="H5358" t="s">
        <v>20</v>
      </c>
      <c r="I5358" s="1">
        <v>33.53</v>
      </c>
      <c r="J5358" s="1">
        <v>32.880000000000003</v>
      </c>
      <c r="K5358" t="s">
        <v>21</v>
      </c>
      <c r="L5358" s="1">
        <v>36.159999999999997</v>
      </c>
    </row>
    <row r="5359" spans="1:12">
      <c r="A5359" t="s">
        <v>5454</v>
      </c>
      <c r="B5359">
        <v>482651</v>
      </c>
      <c r="C5359" s="2" t="str">
        <f>"230155"</f>
        <v>230155</v>
      </c>
      <c r="D5359" t="s">
        <v>5471</v>
      </c>
      <c r="E5359" t="s">
        <v>4</v>
      </c>
      <c r="F5359">
        <v>21</v>
      </c>
      <c r="G5359">
        <v>1.75</v>
      </c>
      <c r="H5359" t="s">
        <v>106</v>
      </c>
      <c r="I5359" s="1">
        <v>26.09</v>
      </c>
      <c r="J5359" s="1">
        <v>25.58</v>
      </c>
      <c r="K5359" t="s">
        <v>21</v>
      </c>
      <c r="L5359" s="1">
        <v>28.14</v>
      </c>
    </row>
    <row r="5360" spans="1:12">
      <c r="A5360" t="s">
        <v>5454</v>
      </c>
      <c r="B5360">
        <v>482652</v>
      </c>
      <c r="C5360" s="2" t="str">
        <f>"240103"</f>
        <v>240103</v>
      </c>
      <c r="D5360" t="s">
        <v>5472</v>
      </c>
      <c r="E5360" t="s">
        <v>4</v>
      </c>
      <c r="F5360">
        <v>6.96</v>
      </c>
      <c r="G5360">
        <v>0.57999999999999996</v>
      </c>
      <c r="H5360" t="s">
        <v>106</v>
      </c>
      <c r="I5360" s="1">
        <v>3.6</v>
      </c>
      <c r="J5360" s="1">
        <v>3.54</v>
      </c>
      <c r="K5360" t="s">
        <v>21</v>
      </c>
      <c r="L5360" s="1">
        <v>3.89</v>
      </c>
    </row>
    <row r="5361" spans="1:12">
      <c r="A5361" t="s">
        <v>5454</v>
      </c>
      <c r="B5361">
        <v>482654</v>
      </c>
      <c r="C5361" s="2" t="str">
        <f>"250132"</f>
        <v>250132</v>
      </c>
      <c r="D5361" t="s">
        <v>5473</v>
      </c>
      <c r="E5361" t="s">
        <v>4</v>
      </c>
      <c r="F5361">
        <v>1.8</v>
      </c>
      <c r="G5361">
        <v>0.3</v>
      </c>
      <c r="H5361" t="s">
        <v>20</v>
      </c>
      <c r="I5361" s="1">
        <v>4.51</v>
      </c>
      <c r="J5361" s="1">
        <v>4.42</v>
      </c>
      <c r="K5361" t="s">
        <v>21</v>
      </c>
      <c r="L5361" s="1">
        <v>4.8600000000000003</v>
      </c>
    </row>
    <row r="5362" spans="1:12">
      <c r="A5362" t="s">
        <v>5454</v>
      </c>
      <c r="B5362">
        <v>482655</v>
      </c>
      <c r="C5362" s="2" t="str">
        <f>"280100"</f>
        <v>280100</v>
      </c>
      <c r="D5362" t="s">
        <v>5474</v>
      </c>
      <c r="E5362" t="s">
        <v>4</v>
      </c>
      <c r="F5362">
        <v>1.8</v>
      </c>
      <c r="G5362">
        <v>0.15</v>
      </c>
      <c r="H5362" t="s">
        <v>106</v>
      </c>
      <c r="I5362" s="1">
        <v>0.92</v>
      </c>
      <c r="J5362" s="1">
        <v>0.91</v>
      </c>
      <c r="K5362" t="s">
        <v>21</v>
      </c>
      <c r="L5362" s="1">
        <v>1</v>
      </c>
    </row>
    <row r="5363" spans="1:12">
      <c r="A5363" t="s">
        <v>5454</v>
      </c>
      <c r="B5363">
        <v>482656</v>
      </c>
      <c r="C5363" s="2" t="str">
        <f>"280102"</f>
        <v>280102</v>
      </c>
      <c r="D5363" t="s">
        <v>5475</v>
      </c>
      <c r="E5363" t="s">
        <v>4</v>
      </c>
      <c r="F5363">
        <v>41.04</v>
      </c>
      <c r="G5363">
        <v>1.71</v>
      </c>
      <c r="H5363" t="s">
        <v>666</v>
      </c>
      <c r="I5363" s="1">
        <v>2.02</v>
      </c>
      <c r="J5363" s="1">
        <v>1.98</v>
      </c>
      <c r="K5363" t="s">
        <v>21</v>
      </c>
      <c r="L5363" s="1">
        <v>2.17</v>
      </c>
    </row>
    <row r="5364" spans="1:12">
      <c r="A5364" t="s">
        <v>5454</v>
      </c>
      <c r="B5364">
        <v>482657</v>
      </c>
      <c r="C5364" s="2" t="str">
        <f>"280124"</f>
        <v>280124</v>
      </c>
      <c r="D5364" t="s">
        <v>5476</v>
      </c>
      <c r="E5364" t="s">
        <v>4</v>
      </c>
      <c r="F5364">
        <v>3.96</v>
      </c>
      <c r="G5364">
        <v>0.33</v>
      </c>
      <c r="H5364" t="s">
        <v>106</v>
      </c>
      <c r="I5364" s="1">
        <v>4.38</v>
      </c>
      <c r="J5364" s="1">
        <v>4.29</v>
      </c>
      <c r="K5364" t="s">
        <v>21</v>
      </c>
      <c r="L5364" s="1">
        <v>4.72</v>
      </c>
    </row>
    <row r="5365" spans="1:12">
      <c r="A5365" t="s">
        <v>5454</v>
      </c>
      <c r="B5365">
        <v>482658</v>
      </c>
      <c r="C5365" s="2" t="str">
        <f>"280126"</f>
        <v>280126</v>
      </c>
      <c r="D5365" t="s">
        <v>5477</v>
      </c>
      <c r="E5365" t="s">
        <v>4</v>
      </c>
      <c r="F5365">
        <v>12</v>
      </c>
      <c r="G5365">
        <v>1</v>
      </c>
      <c r="H5365" t="s">
        <v>106</v>
      </c>
      <c r="I5365" s="1">
        <v>8.84</v>
      </c>
      <c r="J5365" s="1">
        <v>8.67</v>
      </c>
      <c r="K5365" t="s">
        <v>21</v>
      </c>
      <c r="L5365" s="1">
        <v>9.5399999999999991</v>
      </c>
    </row>
    <row r="5366" spans="1:12">
      <c r="A5366" t="s">
        <v>5454</v>
      </c>
      <c r="B5366">
        <v>482659</v>
      </c>
      <c r="C5366" s="2" t="str">
        <f>"280137"</f>
        <v>280137</v>
      </c>
      <c r="D5366" t="s">
        <v>5478</v>
      </c>
      <c r="E5366" t="s">
        <v>4</v>
      </c>
      <c r="F5366">
        <v>5</v>
      </c>
      <c r="G5366">
        <v>0.5</v>
      </c>
      <c r="H5366" t="s">
        <v>108</v>
      </c>
      <c r="I5366" s="1">
        <v>7.18</v>
      </c>
      <c r="J5366" s="1">
        <v>7.03</v>
      </c>
      <c r="K5366" t="s">
        <v>21</v>
      </c>
      <c r="L5366" s="1">
        <v>7.74</v>
      </c>
    </row>
    <row r="5367" spans="1:12">
      <c r="A5367" t="s">
        <v>5454</v>
      </c>
      <c r="B5367">
        <v>482660</v>
      </c>
      <c r="C5367" s="2" t="str">
        <f>"280174"</f>
        <v>280174</v>
      </c>
      <c r="D5367" t="s">
        <v>5479</v>
      </c>
      <c r="E5367" t="s">
        <v>4</v>
      </c>
      <c r="F5367">
        <v>23.04</v>
      </c>
      <c r="G5367">
        <v>0.96</v>
      </c>
      <c r="H5367" t="s">
        <v>666</v>
      </c>
      <c r="I5367" s="1">
        <v>5.25</v>
      </c>
      <c r="J5367" s="1">
        <v>5.15</v>
      </c>
      <c r="K5367" t="s">
        <v>21</v>
      </c>
      <c r="L5367" s="1">
        <v>5.66</v>
      </c>
    </row>
    <row r="5368" spans="1:12">
      <c r="A5368" t="s">
        <v>5454</v>
      </c>
      <c r="B5368">
        <v>482661</v>
      </c>
      <c r="C5368" s="2" t="str">
        <f>"280175"</f>
        <v>280175</v>
      </c>
      <c r="D5368" t="s">
        <v>5480</v>
      </c>
      <c r="E5368" t="s">
        <v>4</v>
      </c>
      <c r="F5368">
        <v>9.9600000000000009</v>
      </c>
      <c r="G5368">
        <v>0.83</v>
      </c>
      <c r="H5368" t="s">
        <v>106</v>
      </c>
      <c r="I5368" s="1">
        <v>12.97</v>
      </c>
      <c r="J5368" s="1">
        <v>12.73</v>
      </c>
      <c r="K5368" t="s">
        <v>21</v>
      </c>
      <c r="L5368" s="1">
        <v>14</v>
      </c>
    </row>
    <row r="5369" spans="1:12">
      <c r="A5369" t="s">
        <v>5454</v>
      </c>
      <c r="B5369">
        <v>482663</v>
      </c>
      <c r="C5369" s="2" t="str">
        <f>"280181"</f>
        <v>280181</v>
      </c>
      <c r="D5369" t="s">
        <v>5481</v>
      </c>
      <c r="E5369" t="s">
        <v>4</v>
      </c>
      <c r="F5369">
        <v>6</v>
      </c>
      <c r="H5369" t="s">
        <v>5</v>
      </c>
      <c r="I5369" s="1">
        <v>68.56</v>
      </c>
      <c r="J5369" s="1">
        <v>67.239999999999995</v>
      </c>
      <c r="K5369" t="s">
        <v>6</v>
      </c>
    </row>
    <row r="5370" spans="1:12">
      <c r="A5370" t="s">
        <v>5454</v>
      </c>
      <c r="B5370">
        <v>482665</v>
      </c>
      <c r="C5370" s="2" t="str">
        <f>"320100"</f>
        <v>320100</v>
      </c>
      <c r="D5370" t="s">
        <v>5482</v>
      </c>
      <c r="E5370" t="s">
        <v>4</v>
      </c>
      <c r="F5370">
        <v>10.98</v>
      </c>
      <c r="G5370">
        <v>1.83</v>
      </c>
      <c r="H5370" t="s">
        <v>20</v>
      </c>
      <c r="I5370" s="1">
        <v>17.41</v>
      </c>
      <c r="J5370" s="1">
        <v>17.07</v>
      </c>
      <c r="K5370" t="s">
        <v>21</v>
      </c>
      <c r="L5370" s="1">
        <v>18.78</v>
      </c>
    </row>
    <row r="5371" spans="1:12">
      <c r="A5371" t="s">
        <v>5454</v>
      </c>
      <c r="B5371">
        <v>561466</v>
      </c>
      <c r="C5371" s="2" t="str">
        <f>"320141"</f>
        <v>320141</v>
      </c>
      <c r="D5371" t="s">
        <v>5483</v>
      </c>
      <c r="E5371" t="s">
        <v>4</v>
      </c>
      <c r="F5371">
        <v>2.04</v>
      </c>
      <c r="G5371">
        <v>0.17</v>
      </c>
      <c r="H5371" t="s">
        <v>106</v>
      </c>
      <c r="I5371" s="1">
        <v>3.02</v>
      </c>
      <c r="J5371" s="1">
        <v>2.96</v>
      </c>
      <c r="K5371" t="s">
        <v>21</v>
      </c>
      <c r="L5371" s="1">
        <v>3.26</v>
      </c>
    </row>
    <row r="5372" spans="1:12">
      <c r="A5372" t="s">
        <v>5454</v>
      </c>
      <c r="B5372">
        <v>561174</v>
      </c>
      <c r="C5372" s="2" t="str">
        <f>"320142"</f>
        <v>320142</v>
      </c>
      <c r="D5372" t="s">
        <v>5484</v>
      </c>
      <c r="E5372" t="s">
        <v>4</v>
      </c>
      <c r="F5372">
        <v>2.04</v>
      </c>
      <c r="G5372">
        <v>0.17</v>
      </c>
      <c r="H5372" t="s">
        <v>106</v>
      </c>
      <c r="I5372" s="1">
        <v>2.04</v>
      </c>
      <c r="J5372" s="1">
        <v>2</v>
      </c>
      <c r="K5372" t="s">
        <v>21</v>
      </c>
      <c r="L5372" s="1">
        <v>2.2000000000000002</v>
      </c>
    </row>
    <row r="5373" spans="1:12">
      <c r="A5373" t="s">
        <v>5454</v>
      </c>
      <c r="B5373">
        <v>482668</v>
      </c>
      <c r="C5373" s="2" t="str">
        <f>"380128"</f>
        <v>380128</v>
      </c>
      <c r="D5373" t="s">
        <v>5485</v>
      </c>
      <c r="E5373" t="s">
        <v>4</v>
      </c>
      <c r="F5373">
        <v>10.44</v>
      </c>
      <c r="G5373">
        <v>0.87</v>
      </c>
      <c r="H5373" t="s">
        <v>106</v>
      </c>
      <c r="I5373" s="1">
        <v>11</v>
      </c>
      <c r="J5373" s="1">
        <v>10.79</v>
      </c>
      <c r="K5373" t="s">
        <v>21</v>
      </c>
      <c r="L5373" s="1">
        <v>11.87</v>
      </c>
    </row>
    <row r="5374" spans="1:12">
      <c r="A5374" t="s">
        <v>5486</v>
      </c>
      <c r="B5374">
        <v>353477</v>
      </c>
      <c r="C5374" s="2" t="str">
        <f>"057036"</f>
        <v>057036</v>
      </c>
      <c r="D5374" t="s">
        <v>5487</v>
      </c>
      <c r="E5374" t="s">
        <v>4</v>
      </c>
      <c r="F5374">
        <v>18.75</v>
      </c>
      <c r="H5374" t="s">
        <v>5</v>
      </c>
      <c r="I5374" s="1">
        <v>52.49</v>
      </c>
      <c r="J5374" s="1">
        <v>51.95</v>
      </c>
      <c r="K5374" t="s">
        <v>6</v>
      </c>
    </row>
    <row r="5375" spans="1:12">
      <c r="A5375" t="s">
        <v>5486</v>
      </c>
      <c r="B5375">
        <v>230558</v>
      </c>
      <c r="C5375" s="2" t="str">
        <f>"057041"</f>
        <v>057041</v>
      </c>
      <c r="D5375" t="s">
        <v>5488</v>
      </c>
      <c r="E5375" t="s">
        <v>4</v>
      </c>
      <c r="F5375">
        <v>55</v>
      </c>
      <c r="H5375" t="s">
        <v>5</v>
      </c>
      <c r="I5375" s="1">
        <v>61.92</v>
      </c>
      <c r="J5375" s="1">
        <v>61.28</v>
      </c>
      <c r="K5375" t="s">
        <v>6</v>
      </c>
    </row>
    <row r="5376" spans="1:12">
      <c r="A5376" t="s">
        <v>5486</v>
      </c>
      <c r="B5376">
        <v>196426</v>
      </c>
      <c r="C5376" s="2" t="str">
        <f>"057053"</f>
        <v>057053</v>
      </c>
      <c r="D5376" t="s">
        <v>5489</v>
      </c>
      <c r="E5376" t="s">
        <v>4</v>
      </c>
      <c r="F5376">
        <v>40</v>
      </c>
      <c r="H5376" t="s">
        <v>5</v>
      </c>
      <c r="I5376" s="1">
        <v>81.540000000000006</v>
      </c>
      <c r="J5376" s="1">
        <v>80.7</v>
      </c>
      <c r="K5376" t="s">
        <v>6</v>
      </c>
    </row>
    <row r="5377" spans="1:11">
      <c r="A5377" t="s">
        <v>5486</v>
      </c>
      <c r="B5377">
        <v>332796</v>
      </c>
      <c r="C5377" s="2" t="str">
        <f>"057062"</f>
        <v>057062</v>
      </c>
      <c r="D5377" t="s">
        <v>5490</v>
      </c>
      <c r="E5377" t="s">
        <v>4</v>
      </c>
      <c r="F5377">
        <v>18</v>
      </c>
      <c r="H5377" t="s">
        <v>5</v>
      </c>
      <c r="I5377" s="1">
        <v>47.27</v>
      </c>
      <c r="J5377" s="1">
        <v>46.78</v>
      </c>
      <c r="K5377" t="s">
        <v>6</v>
      </c>
    </row>
    <row r="5378" spans="1:11">
      <c r="A5378" t="s">
        <v>5486</v>
      </c>
      <c r="B5378">
        <v>339579</v>
      </c>
      <c r="C5378" s="2" t="str">
        <f>"057081"</f>
        <v>057081</v>
      </c>
      <c r="D5378" t="s">
        <v>5491</v>
      </c>
      <c r="E5378" t="s">
        <v>4</v>
      </c>
      <c r="F5378">
        <v>37</v>
      </c>
      <c r="H5378" t="s">
        <v>5</v>
      </c>
      <c r="I5378" s="1">
        <v>114.28</v>
      </c>
      <c r="J5378" s="1">
        <v>113.11</v>
      </c>
      <c r="K5378" t="s">
        <v>6</v>
      </c>
    </row>
    <row r="5379" spans="1:11">
      <c r="A5379" t="s">
        <v>5486</v>
      </c>
      <c r="B5379">
        <v>348009</v>
      </c>
      <c r="C5379" s="2" t="str">
        <f>"057114"</f>
        <v>057114</v>
      </c>
      <c r="D5379" t="s">
        <v>5492</v>
      </c>
      <c r="E5379" t="s">
        <v>4</v>
      </c>
      <c r="F5379">
        <v>19.23</v>
      </c>
      <c r="H5379" t="s">
        <v>5</v>
      </c>
      <c r="I5379" s="1">
        <v>45.24</v>
      </c>
      <c r="J5379" s="1">
        <v>45.24</v>
      </c>
      <c r="K5379" t="s">
        <v>6</v>
      </c>
    </row>
    <row r="5380" spans="1:11">
      <c r="A5380" t="s">
        <v>5486</v>
      </c>
      <c r="B5380">
        <v>340089</v>
      </c>
      <c r="C5380" s="2" t="str">
        <f>"057119"</f>
        <v>057119</v>
      </c>
      <c r="D5380" t="s">
        <v>5493</v>
      </c>
      <c r="E5380" t="s">
        <v>4</v>
      </c>
      <c r="F5380">
        <v>27.7</v>
      </c>
      <c r="H5380" t="s">
        <v>5</v>
      </c>
      <c r="I5380" s="1">
        <v>60.39</v>
      </c>
      <c r="J5380" s="1">
        <v>59.77</v>
      </c>
      <c r="K5380" t="s">
        <v>6</v>
      </c>
    </row>
    <row r="5381" spans="1:11">
      <c r="A5381" t="s">
        <v>5486</v>
      </c>
      <c r="B5381">
        <v>323279</v>
      </c>
      <c r="C5381" s="2" t="str">
        <f>"057149"</f>
        <v>057149</v>
      </c>
      <c r="D5381" t="s">
        <v>5494</v>
      </c>
      <c r="E5381" t="s">
        <v>4</v>
      </c>
      <c r="F5381">
        <v>39</v>
      </c>
      <c r="H5381" t="s">
        <v>5</v>
      </c>
      <c r="I5381" s="1">
        <v>83.32</v>
      </c>
      <c r="J5381" s="1">
        <v>82.47</v>
      </c>
      <c r="K5381" t="s">
        <v>6</v>
      </c>
    </row>
    <row r="5382" spans="1:11">
      <c r="A5382" t="s">
        <v>5486</v>
      </c>
      <c r="B5382">
        <v>339991</v>
      </c>
      <c r="C5382" s="2" t="str">
        <f>"057236"</f>
        <v>057236</v>
      </c>
      <c r="D5382" t="s">
        <v>5495</v>
      </c>
      <c r="E5382" t="s">
        <v>4</v>
      </c>
      <c r="F5382">
        <v>53</v>
      </c>
      <c r="H5382" t="s">
        <v>5</v>
      </c>
      <c r="I5382" s="1">
        <v>50.18</v>
      </c>
      <c r="J5382" s="1">
        <v>50.18</v>
      </c>
      <c r="K5382" t="s">
        <v>6</v>
      </c>
    </row>
    <row r="5383" spans="1:11">
      <c r="A5383" t="s">
        <v>5486</v>
      </c>
      <c r="B5383">
        <v>340842</v>
      </c>
      <c r="C5383" s="2" t="str">
        <f>"057249"</f>
        <v>057249</v>
      </c>
      <c r="D5383" t="s">
        <v>5496</v>
      </c>
      <c r="E5383" t="s">
        <v>4</v>
      </c>
      <c r="F5383">
        <v>6</v>
      </c>
      <c r="H5383" t="s">
        <v>5</v>
      </c>
      <c r="I5383" s="1">
        <v>57.71</v>
      </c>
      <c r="J5383" s="1">
        <v>57.12</v>
      </c>
      <c r="K5383" t="s">
        <v>6</v>
      </c>
    </row>
    <row r="5384" spans="1:11">
      <c r="A5384" t="s">
        <v>5486</v>
      </c>
      <c r="B5384">
        <v>331939</v>
      </c>
      <c r="C5384" s="2" t="str">
        <f>"057252"</f>
        <v>057252</v>
      </c>
      <c r="D5384" t="s">
        <v>5497</v>
      </c>
      <c r="E5384" t="s">
        <v>4</v>
      </c>
      <c r="F5384">
        <v>2.99</v>
      </c>
      <c r="H5384" t="s">
        <v>5</v>
      </c>
      <c r="I5384" s="1">
        <v>44.21</v>
      </c>
      <c r="J5384" s="1">
        <v>43.76</v>
      </c>
      <c r="K5384" t="s">
        <v>6</v>
      </c>
    </row>
    <row r="5385" spans="1:11">
      <c r="A5385" t="s">
        <v>5486</v>
      </c>
      <c r="B5385">
        <v>481722</v>
      </c>
      <c r="C5385" s="2" t="str">
        <f>"057255"</f>
        <v>057255</v>
      </c>
      <c r="D5385" t="s">
        <v>5498</v>
      </c>
      <c r="E5385" t="s">
        <v>4</v>
      </c>
      <c r="F5385">
        <v>26.5</v>
      </c>
      <c r="H5385" t="s">
        <v>5</v>
      </c>
      <c r="I5385" s="1">
        <v>65.61</v>
      </c>
      <c r="J5385" s="1">
        <v>64.94</v>
      </c>
      <c r="K5385" t="s">
        <v>6</v>
      </c>
    </row>
    <row r="5386" spans="1:11">
      <c r="A5386" t="s">
        <v>5486</v>
      </c>
      <c r="B5386">
        <v>350651</v>
      </c>
      <c r="C5386" s="2" t="str">
        <f>"057259"</f>
        <v>057259</v>
      </c>
      <c r="D5386" t="s">
        <v>5499</v>
      </c>
      <c r="E5386" t="s">
        <v>4</v>
      </c>
      <c r="F5386">
        <v>51.58</v>
      </c>
      <c r="H5386" t="s">
        <v>5</v>
      </c>
      <c r="I5386" s="1">
        <v>123.07</v>
      </c>
      <c r="J5386" s="1">
        <v>121.81</v>
      </c>
      <c r="K5386" t="s">
        <v>6</v>
      </c>
    </row>
    <row r="5387" spans="1:11">
      <c r="A5387" t="s">
        <v>5486</v>
      </c>
      <c r="B5387">
        <v>430886</v>
      </c>
      <c r="C5387" s="2" t="str">
        <f>"057296"</f>
        <v>057296</v>
      </c>
      <c r="D5387" t="s">
        <v>5500</v>
      </c>
      <c r="E5387" t="s">
        <v>4</v>
      </c>
      <c r="F5387">
        <v>36.19</v>
      </c>
      <c r="H5387" t="s">
        <v>5</v>
      </c>
      <c r="I5387" s="1">
        <v>62.81</v>
      </c>
      <c r="J5387" s="1">
        <v>62.17</v>
      </c>
      <c r="K5387" t="s">
        <v>6</v>
      </c>
    </row>
    <row r="5388" spans="1:11">
      <c r="A5388" t="s">
        <v>5486</v>
      </c>
      <c r="B5388">
        <v>210954</v>
      </c>
      <c r="C5388" s="2" t="str">
        <f>"057377"</f>
        <v>057377</v>
      </c>
      <c r="D5388" t="s">
        <v>5501</v>
      </c>
      <c r="E5388" t="s">
        <v>4</v>
      </c>
      <c r="F5388">
        <v>37</v>
      </c>
      <c r="H5388" t="s">
        <v>5</v>
      </c>
      <c r="I5388" s="1">
        <v>80.13</v>
      </c>
      <c r="J5388" s="1">
        <v>79.319999999999993</v>
      </c>
      <c r="K5388" t="s">
        <v>6</v>
      </c>
    </row>
    <row r="5389" spans="1:11">
      <c r="A5389" t="s">
        <v>5486</v>
      </c>
      <c r="B5389">
        <v>203707</v>
      </c>
      <c r="C5389" s="2" t="str">
        <f>"057403"</f>
        <v>057403</v>
      </c>
      <c r="D5389" t="s">
        <v>5502</v>
      </c>
      <c r="E5389" t="s">
        <v>4</v>
      </c>
      <c r="F5389">
        <v>37</v>
      </c>
      <c r="H5389" t="s">
        <v>5</v>
      </c>
      <c r="I5389" s="1">
        <v>118.61</v>
      </c>
      <c r="J5389" s="1">
        <v>117.4</v>
      </c>
      <c r="K5389" t="s">
        <v>6</v>
      </c>
    </row>
    <row r="5390" spans="1:11">
      <c r="A5390" t="s">
        <v>5486</v>
      </c>
      <c r="B5390">
        <v>210192</v>
      </c>
      <c r="C5390" s="2" t="str">
        <f>"057405"</f>
        <v>057405</v>
      </c>
      <c r="D5390" t="s">
        <v>5503</v>
      </c>
      <c r="E5390" t="s">
        <v>4</v>
      </c>
      <c r="F5390">
        <v>45</v>
      </c>
      <c r="H5390" t="s">
        <v>4682</v>
      </c>
      <c r="I5390" s="1">
        <v>145.49</v>
      </c>
      <c r="J5390" s="1">
        <v>144.01</v>
      </c>
      <c r="K5390" t="s">
        <v>6</v>
      </c>
    </row>
    <row r="5391" spans="1:11">
      <c r="A5391" t="s">
        <v>5486</v>
      </c>
      <c r="B5391">
        <v>302146</v>
      </c>
      <c r="C5391" s="2" t="str">
        <f>"057435"</f>
        <v>057435</v>
      </c>
      <c r="D5391" t="s">
        <v>5504</v>
      </c>
      <c r="E5391" t="s">
        <v>4</v>
      </c>
      <c r="F5391">
        <v>54.5</v>
      </c>
      <c r="H5391" t="s">
        <v>4682</v>
      </c>
      <c r="I5391" s="1">
        <v>94.4</v>
      </c>
      <c r="J5391" s="1">
        <v>93.44</v>
      </c>
      <c r="K5391" t="s">
        <v>6</v>
      </c>
    </row>
    <row r="5392" spans="1:11">
      <c r="A5392" t="s">
        <v>5486</v>
      </c>
      <c r="B5392">
        <v>228137</v>
      </c>
      <c r="C5392" s="2" t="str">
        <f>"057443"</f>
        <v>057443</v>
      </c>
      <c r="D5392" t="s">
        <v>5505</v>
      </c>
      <c r="E5392" t="s">
        <v>4</v>
      </c>
      <c r="F5392">
        <v>41</v>
      </c>
      <c r="H5392" t="s">
        <v>5</v>
      </c>
      <c r="I5392" s="1">
        <v>38.729999999999997</v>
      </c>
      <c r="J5392" s="1">
        <v>38.33</v>
      </c>
      <c r="K5392" t="s">
        <v>6</v>
      </c>
    </row>
    <row r="5393" spans="1:11">
      <c r="A5393" t="s">
        <v>5486</v>
      </c>
      <c r="B5393">
        <v>203664</v>
      </c>
      <c r="C5393" s="2" t="str">
        <f>"057445"</f>
        <v>057445</v>
      </c>
      <c r="D5393" t="s">
        <v>5506</v>
      </c>
      <c r="E5393" t="s">
        <v>4</v>
      </c>
      <c r="F5393">
        <v>51</v>
      </c>
      <c r="H5393" t="s">
        <v>5</v>
      </c>
      <c r="I5393" s="1">
        <v>34.450000000000003</v>
      </c>
      <c r="J5393" s="1">
        <v>34.450000000000003</v>
      </c>
      <c r="K5393" t="s">
        <v>6</v>
      </c>
    </row>
    <row r="5394" spans="1:11">
      <c r="A5394" t="s">
        <v>5486</v>
      </c>
      <c r="B5394">
        <v>268893</v>
      </c>
      <c r="C5394" s="2" t="str">
        <f>"057470"</f>
        <v>057470</v>
      </c>
      <c r="D5394" t="s">
        <v>5507</v>
      </c>
      <c r="E5394" t="s">
        <v>4</v>
      </c>
      <c r="F5394">
        <v>37</v>
      </c>
      <c r="H5394" t="s">
        <v>5</v>
      </c>
      <c r="I5394" s="1">
        <v>96.95</v>
      </c>
      <c r="J5394" s="1">
        <v>95.96</v>
      </c>
      <c r="K5394" t="s">
        <v>6</v>
      </c>
    </row>
    <row r="5395" spans="1:11">
      <c r="A5395" t="s">
        <v>5486</v>
      </c>
      <c r="B5395">
        <v>339065</v>
      </c>
      <c r="C5395" s="2" t="str">
        <f>"057475"</f>
        <v>057475</v>
      </c>
      <c r="D5395" t="s">
        <v>5508</v>
      </c>
      <c r="E5395" t="s">
        <v>4</v>
      </c>
      <c r="F5395">
        <v>27.7</v>
      </c>
      <c r="H5395" t="s">
        <v>5</v>
      </c>
      <c r="I5395" s="1">
        <v>40.51</v>
      </c>
      <c r="J5395" s="1">
        <v>40.1</v>
      </c>
      <c r="K5395" t="s">
        <v>6</v>
      </c>
    </row>
    <row r="5396" spans="1:11">
      <c r="A5396" t="s">
        <v>5486</v>
      </c>
      <c r="B5396">
        <v>196472</v>
      </c>
      <c r="C5396" s="2" t="str">
        <f>"057478"</f>
        <v>057478</v>
      </c>
      <c r="D5396" t="s">
        <v>5509</v>
      </c>
      <c r="E5396" t="s">
        <v>4</v>
      </c>
      <c r="F5396">
        <v>37</v>
      </c>
      <c r="H5396" t="s">
        <v>5</v>
      </c>
      <c r="I5396" s="1">
        <v>48.92</v>
      </c>
      <c r="J5396" s="1">
        <v>48.42</v>
      </c>
      <c r="K5396" t="s">
        <v>6</v>
      </c>
    </row>
    <row r="5397" spans="1:11">
      <c r="A5397" t="s">
        <v>5486</v>
      </c>
      <c r="B5397">
        <v>285939</v>
      </c>
      <c r="C5397" s="2" t="str">
        <f>"057498"</f>
        <v>057498</v>
      </c>
      <c r="D5397" t="s">
        <v>5510</v>
      </c>
      <c r="E5397" t="s">
        <v>4</v>
      </c>
      <c r="F5397">
        <v>45</v>
      </c>
      <c r="H5397" t="s">
        <v>4682</v>
      </c>
      <c r="I5397" s="1">
        <v>100.9</v>
      </c>
      <c r="J5397" s="1">
        <v>99.87</v>
      </c>
      <c r="K5397" t="s">
        <v>6</v>
      </c>
    </row>
    <row r="5398" spans="1:11">
      <c r="A5398" t="s">
        <v>5486</v>
      </c>
      <c r="B5398">
        <v>207424</v>
      </c>
      <c r="C5398" s="2" t="str">
        <f>"057500"</f>
        <v>057500</v>
      </c>
      <c r="D5398" t="s">
        <v>5511</v>
      </c>
      <c r="E5398" t="s">
        <v>4</v>
      </c>
      <c r="F5398">
        <v>37</v>
      </c>
      <c r="H5398" t="s">
        <v>5</v>
      </c>
      <c r="I5398" s="1">
        <v>77.709999999999994</v>
      </c>
      <c r="J5398" s="1">
        <v>76.92</v>
      </c>
      <c r="K5398" t="s">
        <v>6</v>
      </c>
    </row>
    <row r="5399" spans="1:11">
      <c r="A5399" t="s">
        <v>5486</v>
      </c>
      <c r="B5399">
        <v>312891</v>
      </c>
      <c r="C5399" s="2" t="str">
        <f>"057502"</f>
        <v>057502</v>
      </c>
      <c r="D5399" t="s">
        <v>5512</v>
      </c>
      <c r="E5399" t="s">
        <v>4</v>
      </c>
      <c r="F5399">
        <v>45</v>
      </c>
      <c r="H5399" t="s">
        <v>5</v>
      </c>
      <c r="I5399" s="1">
        <v>69.42</v>
      </c>
      <c r="J5399" s="1">
        <v>69.42</v>
      </c>
      <c r="K5399" t="s">
        <v>6</v>
      </c>
    </row>
    <row r="5400" spans="1:11">
      <c r="A5400" t="s">
        <v>5486</v>
      </c>
      <c r="B5400">
        <v>196433</v>
      </c>
      <c r="C5400" s="2" t="str">
        <f>"057506"</f>
        <v>057506</v>
      </c>
      <c r="D5400" t="s">
        <v>5513</v>
      </c>
      <c r="E5400" t="s">
        <v>4</v>
      </c>
      <c r="F5400">
        <v>38</v>
      </c>
      <c r="H5400" t="s">
        <v>5</v>
      </c>
      <c r="I5400" s="1">
        <v>53.13</v>
      </c>
      <c r="J5400" s="1">
        <v>52.58</v>
      </c>
      <c r="K5400" t="s">
        <v>6</v>
      </c>
    </row>
    <row r="5401" spans="1:11">
      <c r="A5401" t="s">
        <v>5486</v>
      </c>
      <c r="B5401">
        <v>200682</v>
      </c>
      <c r="C5401" s="2" t="str">
        <f>"057551"</f>
        <v>057551</v>
      </c>
      <c r="D5401" t="s">
        <v>5514</v>
      </c>
      <c r="E5401" t="s">
        <v>4</v>
      </c>
      <c r="F5401">
        <v>36</v>
      </c>
      <c r="H5401" t="s">
        <v>5</v>
      </c>
      <c r="I5401" s="1">
        <v>57.71</v>
      </c>
      <c r="J5401" s="1">
        <v>57.12</v>
      </c>
      <c r="K5401" t="s">
        <v>6</v>
      </c>
    </row>
    <row r="5402" spans="1:11">
      <c r="A5402" t="s">
        <v>5486</v>
      </c>
      <c r="B5402">
        <v>292093</v>
      </c>
      <c r="C5402" s="2" t="str">
        <f>"057560"</f>
        <v>057560</v>
      </c>
      <c r="D5402" t="s">
        <v>5515</v>
      </c>
      <c r="E5402" t="s">
        <v>4</v>
      </c>
      <c r="F5402">
        <v>44</v>
      </c>
      <c r="H5402" t="s">
        <v>5</v>
      </c>
      <c r="I5402" s="1">
        <v>56.06</v>
      </c>
      <c r="J5402" s="1">
        <v>55.48</v>
      </c>
      <c r="K5402" t="s">
        <v>6</v>
      </c>
    </row>
    <row r="5403" spans="1:11">
      <c r="A5403" t="s">
        <v>5486</v>
      </c>
      <c r="B5403">
        <v>228781</v>
      </c>
      <c r="C5403" s="2" t="str">
        <f>"057562"</f>
        <v>057562</v>
      </c>
      <c r="D5403" t="s">
        <v>5516</v>
      </c>
      <c r="E5403" t="s">
        <v>4</v>
      </c>
      <c r="F5403">
        <v>55</v>
      </c>
      <c r="H5403" t="s">
        <v>5</v>
      </c>
      <c r="I5403" s="1">
        <v>68.92</v>
      </c>
      <c r="J5403" s="1">
        <v>68.22</v>
      </c>
      <c r="K5403" t="s">
        <v>6</v>
      </c>
    </row>
    <row r="5404" spans="1:11">
      <c r="A5404" t="s">
        <v>5486</v>
      </c>
      <c r="B5404">
        <v>331936</v>
      </c>
      <c r="C5404" s="2" t="str">
        <f>"057564"</f>
        <v>057564</v>
      </c>
      <c r="D5404" t="s">
        <v>5517</v>
      </c>
      <c r="E5404" t="s">
        <v>4</v>
      </c>
      <c r="F5404">
        <v>15.9</v>
      </c>
      <c r="H5404" t="s">
        <v>5</v>
      </c>
      <c r="I5404" s="1">
        <v>34.020000000000003</v>
      </c>
      <c r="J5404" s="1">
        <v>33.67</v>
      </c>
      <c r="K5404" t="s">
        <v>6</v>
      </c>
    </row>
    <row r="5405" spans="1:11">
      <c r="A5405" t="s">
        <v>5486</v>
      </c>
      <c r="B5405">
        <v>293971</v>
      </c>
      <c r="C5405" s="2" t="str">
        <f>"057566"</f>
        <v>057566</v>
      </c>
      <c r="D5405" t="s">
        <v>5518</v>
      </c>
      <c r="E5405" t="s">
        <v>4</v>
      </c>
      <c r="F5405">
        <v>37</v>
      </c>
      <c r="H5405" t="s">
        <v>5</v>
      </c>
      <c r="I5405" s="1">
        <v>59.75</v>
      </c>
      <c r="J5405" s="1">
        <v>59.14</v>
      </c>
      <c r="K5405" t="s">
        <v>6</v>
      </c>
    </row>
    <row r="5406" spans="1:11">
      <c r="A5406" t="s">
        <v>5486</v>
      </c>
      <c r="B5406">
        <v>207417</v>
      </c>
      <c r="C5406" s="2" t="str">
        <f>"057569"</f>
        <v>057569</v>
      </c>
      <c r="D5406" t="s">
        <v>5519</v>
      </c>
      <c r="E5406" t="s">
        <v>4</v>
      </c>
      <c r="F5406">
        <v>39</v>
      </c>
      <c r="H5406" t="s">
        <v>5</v>
      </c>
      <c r="I5406" s="1">
        <v>53.25</v>
      </c>
      <c r="J5406" s="1">
        <v>52.71</v>
      </c>
      <c r="K5406" t="s">
        <v>6</v>
      </c>
    </row>
    <row r="5407" spans="1:11">
      <c r="A5407" t="s">
        <v>5486</v>
      </c>
      <c r="B5407">
        <v>205462</v>
      </c>
      <c r="C5407" s="2" t="str">
        <f>"057594"</f>
        <v>057594</v>
      </c>
      <c r="D5407" t="s">
        <v>5520</v>
      </c>
      <c r="E5407" t="s">
        <v>4</v>
      </c>
      <c r="F5407">
        <v>4</v>
      </c>
      <c r="H5407" t="s">
        <v>5</v>
      </c>
      <c r="I5407" s="1">
        <v>66.5</v>
      </c>
      <c r="J5407" s="1">
        <v>65.819999999999993</v>
      </c>
      <c r="K5407" t="s">
        <v>6</v>
      </c>
    </row>
    <row r="5408" spans="1:11">
      <c r="A5408" t="s">
        <v>5486</v>
      </c>
      <c r="B5408">
        <v>410174</v>
      </c>
      <c r="C5408" s="2" t="str">
        <f>"057602"</f>
        <v>057602</v>
      </c>
      <c r="D5408" t="s">
        <v>5521</v>
      </c>
      <c r="E5408" t="s">
        <v>4</v>
      </c>
      <c r="F5408">
        <v>35.700000000000003</v>
      </c>
      <c r="H5408" t="s">
        <v>5</v>
      </c>
      <c r="I5408" s="1">
        <v>104.47</v>
      </c>
      <c r="J5408" s="1">
        <v>103.4</v>
      </c>
      <c r="K5408" t="s">
        <v>6</v>
      </c>
    </row>
    <row r="5409" spans="1:11">
      <c r="A5409" t="s">
        <v>5486</v>
      </c>
      <c r="B5409">
        <v>336237</v>
      </c>
      <c r="C5409" s="2" t="str">
        <f>"057621"</f>
        <v>057621</v>
      </c>
      <c r="D5409" t="s">
        <v>5522</v>
      </c>
      <c r="E5409" t="s">
        <v>4</v>
      </c>
      <c r="F5409">
        <v>34.86</v>
      </c>
      <c r="H5409" t="s">
        <v>5</v>
      </c>
      <c r="I5409" s="1">
        <v>70.2</v>
      </c>
      <c r="J5409" s="1">
        <v>70.2</v>
      </c>
      <c r="K5409" t="s">
        <v>6</v>
      </c>
    </row>
    <row r="5410" spans="1:11">
      <c r="A5410" t="s">
        <v>5486</v>
      </c>
      <c r="B5410">
        <v>234923</v>
      </c>
      <c r="C5410" s="2" t="str">
        <f>"057668"</f>
        <v>057668</v>
      </c>
      <c r="D5410" t="s">
        <v>5523</v>
      </c>
      <c r="E5410" t="s">
        <v>4</v>
      </c>
      <c r="F5410">
        <v>37</v>
      </c>
      <c r="H5410" t="s">
        <v>5</v>
      </c>
      <c r="I5410" s="1">
        <v>66.89</v>
      </c>
      <c r="J5410" s="1">
        <v>66.2</v>
      </c>
      <c r="K5410" t="s">
        <v>6</v>
      </c>
    </row>
    <row r="5411" spans="1:11">
      <c r="A5411" t="s">
        <v>5486</v>
      </c>
      <c r="B5411">
        <v>264838</v>
      </c>
      <c r="C5411" s="2" t="str">
        <f>"057737"</f>
        <v>057737</v>
      </c>
      <c r="D5411" t="s">
        <v>5524</v>
      </c>
      <c r="E5411" t="s">
        <v>4</v>
      </c>
      <c r="F5411">
        <v>37</v>
      </c>
      <c r="H5411" t="s">
        <v>5</v>
      </c>
      <c r="I5411" s="1">
        <v>92.75</v>
      </c>
      <c r="J5411" s="1">
        <v>91.8</v>
      </c>
      <c r="K5411" t="s">
        <v>6</v>
      </c>
    </row>
    <row r="5412" spans="1:11">
      <c r="A5412" t="s">
        <v>5486</v>
      </c>
      <c r="B5412">
        <v>260003</v>
      </c>
      <c r="C5412" s="2" t="str">
        <f>"057738"</f>
        <v>057738</v>
      </c>
      <c r="D5412" t="s">
        <v>5525</v>
      </c>
      <c r="E5412" t="s">
        <v>4</v>
      </c>
      <c r="F5412">
        <v>45</v>
      </c>
      <c r="H5412" t="s">
        <v>4682</v>
      </c>
      <c r="I5412" s="1">
        <v>83.33</v>
      </c>
      <c r="J5412" s="1">
        <v>83.33</v>
      </c>
      <c r="K5412" t="s">
        <v>6</v>
      </c>
    </row>
    <row r="5413" spans="1:11">
      <c r="A5413" t="s">
        <v>5486</v>
      </c>
      <c r="B5413">
        <v>200700</v>
      </c>
      <c r="C5413" s="2" t="str">
        <f>"057744"</f>
        <v>057744</v>
      </c>
      <c r="D5413" t="s">
        <v>5526</v>
      </c>
      <c r="E5413" t="s">
        <v>4</v>
      </c>
      <c r="F5413">
        <v>38</v>
      </c>
      <c r="H5413" t="s">
        <v>5</v>
      </c>
      <c r="I5413" s="1">
        <v>55.51</v>
      </c>
      <c r="J5413" s="1">
        <v>55.51</v>
      </c>
      <c r="K5413" t="s">
        <v>6</v>
      </c>
    </row>
    <row r="5414" spans="1:11">
      <c r="A5414" t="s">
        <v>5486</v>
      </c>
      <c r="B5414">
        <v>300939</v>
      </c>
      <c r="C5414" s="2" t="str">
        <f>"057763"</f>
        <v>057763</v>
      </c>
      <c r="D5414" t="s">
        <v>5527</v>
      </c>
      <c r="E5414" t="s">
        <v>4</v>
      </c>
      <c r="F5414">
        <v>37</v>
      </c>
      <c r="H5414" t="s">
        <v>5</v>
      </c>
      <c r="I5414" s="1">
        <v>25.22</v>
      </c>
      <c r="J5414" s="1">
        <v>25.22</v>
      </c>
      <c r="K5414" t="s">
        <v>6</v>
      </c>
    </row>
    <row r="5415" spans="1:11">
      <c r="A5415" t="s">
        <v>5486</v>
      </c>
      <c r="B5415">
        <v>300921</v>
      </c>
      <c r="C5415" s="2" t="str">
        <f>"057765"</f>
        <v>057765</v>
      </c>
      <c r="D5415" t="s">
        <v>5528</v>
      </c>
      <c r="E5415" t="s">
        <v>4</v>
      </c>
      <c r="F5415">
        <v>45.5</v>
      </c>
      <c r="H5415" t="s">
        <v>4682</v>
      </c>
      <c r="I5415" s="1">
        <v>47.65</v>
      </c>
      <c r="J5415" s="1">
        <v>47.16</v>
      </c>
      <c r="K5415" t="s">
        <v>6</v>
      </c>
    </row>
    <row r="5416" spans="1:11">
      <c r="A5416" t="s">
        <v>5486</v>
      </c>
      <c r="B5416">
        <v>412245</v>
      </c>
      <c r="C5416" s="2" t="str">
        <f>"060842"</f>
        <v>060842</v>
      </c>
      <c r="D5416" t="s">
        <v>5529</v>
      </c>
      <c r="E5416" t="s">
        <v>4</v>
      </c>
      <c r="F5416">
        <v>17.3</v>
      </c>
      <c r="H5416" t="s">
        <v>5</v>
      </c>
      <c r="I5416" s="1">
        <v>47.27</v>
      </c>
      <c r="J5416" s="1">
        <v>46.78</v>
      </c>
      <c r="K5416" t="s">
        <v>6</v>
      </c>
    </row>
    <row r="5417" spans="1:11">
      <c r="A5417" t="s">
        <v>5486</v>
      </c>
      <c r="B5417">
        <v>306098</v>
      </c>
      <c r="C5417" s="2" t="str">
        <f>"063058"</f>
        <v>063058</v>
      </c>
      <c r="D5417" t="s">
        <v>5530</v>
      </c>
      <c r="E5417" t="s">
        <v>4</v>
      </c>
      <c r="F5417">
        <v>24.55</v>
      </c>
      <c r="H5417" t="s">
        <v>5</v>
      </c>
      <c r="I5417" s="1">
        <v>64.459999999999994</v>
      </c>
      <c r="J5417" s="1">
        <v>63.81</v>
      </c>
      <c r="K5417" t="s">
        <v>6</v>
      </c>
    </row>
    <row r="5418" spans="1:11">
      <c r="A5418" t="s">
        <v>5486</v>
      </c>
      <c r="B5418">
        <v>378604</v>
      </c>
      <c r="C5418" s="2" t="str">
        <f>"063059"</f>
        <v>063059</v>
      </c>
      <c r="D5418" t="s">
        <v>5531</v>
      </c>
      <c r="E5418" t="s">
        <v>4</v>
      </c>
      <c r="F5418">
        <v>18</v>
      </c>
      <c r="H5418" t="s">
        <v>5</v>
      </c>
      <c r="I5418" s="1">
        <v>50.96</v>
      </c>
      <c r="J5418" s="1">
        <v>50.44</v>
      </c>
      <c r="K5418" t="s">
        <v>6</v>
      </c>
    </row>
    <row r="5419" spans="1:11">
      <c r="A5419" t="s">
        <v>5486</v>
      </c>
      <c r="B5419">
        <v>378608</v>
      </c>
      <c r="C5419" s="2" t="str">
        <f>"063066"</f>
        <v>063066</v>
      </c>
      <c r="D5419" t="s">
        <v>5532</v>
      </c>
      <c r="E5419" t="s">
        <v>4</v>
      </c>
      <c r="F5419">
        <v>18</v>
      </c>
      <c r="H5419" t="s">
        <v>5</v>
      </c>
      <c r="I5419" s="1">
        <v>57.46</v>
      </c>
      <c r="J5419" s="1">
        <v>56.87</v>
      </c>
      <c r="K5419" t="s">
        <v>6</v>
      </c>
    </row>
    <row r="5420" spans="1:11">
      <c r="A5420" t="s">
        <v>5486</v>
      </c>
      <c r="B5420">
        <v>333339</v>
      </c>
      <c r="C5420" s="2" t="str">
        <f>"063067"</f>
        <v>063067</v>
      </c>
      <c r="D5420" t="s">
        <v>5533</v>
      </c>
      <c r="E5420" t="s">
        <v>4</v>
      </c>
      <c r="F5420">
        <v>37</v>
      </c>
      <c r="H5420" t="s">
        <v>5</v>
      </c>
      <c r="I5420" s="1">
        <v>102.43</v>
      </c>
      <c r="J5420" s="1">
        <v>101.38</v>
      </c>
      <c r="K5420" t="s">
        <v>6</v>
      </c>
    </row>
    <row r="5421" spans="1:11">
      <c r="A5421" t="s">
        <v>5486</v>
      </c>
      <c r="B5421">
        <v>463560</v>
      </c>
      <c r="C5421" s="2" t="str">
        <f>"063595"</f>
        <v>063595</v>
      </c>
      <c r="D5421" t="s">
        <v>5534</v>
      </c>
      <c r="E5421" t="s">
        <v>4</v>
      </c>
      <c r="F5421">
        <v>34.47</v>
      </c>
      <c r="H5421" t="s">
        <v>5</v>
      </c>
      <c r="I5421" s="1">
        <v>121.41</v>
      </c>
      <c r="J5421" s="1">
        <v>120.17</v>
      </c>
      <c r="K5421" t="s">
        <v>6</v>
      </c>
    </row>
    <row r="5422" spans="1:11">
      <c r="A5422" t="s">
        <v>5486</v>
      </c>
      <c r="B5422">
        <v>478461</v>
      </c>
      <c r="C5422" s="2" t="str">
        <f>"063630"</f>
        <v>063630</v>
      </c>
      <c r="D5422" t="s">
        <v>5535</v>
      </c>
      <c r="E5422" t="s">
        <v>4</v>
      </c>
      <c r="F5422">
        <v>37.299999999999997</v>
      </c>
      <c r="H5422" t="s">
        <v>5</v>
      </c>
      <c r="I5422" s="1">
        <v>77.08</v>
      </c>
      <c r="J5422" s="1">
        <v>76.290000000000006</v>
      </c>
      <c r="K5422" t="s">
        <v>6</v>
      </c>
    </row>
    <row r="5423" spans="1:11">
      <c r="A5423" t="s">
        <v>5486</v>
      </c>
      <c r="B5423">
        <v>338607</v>
      </c>
      <c r="C5423" s="2" t="str">
        <f>"063942"</f>
        <v>063942</v>
      </c>
      <c r="D5423" t="s">
        <v>5536</v>
      </c>
      <c r="E5423" t="s">
        <v>4</v>
      </c>
      <c r="F5423">
        <v>37</v>
      </c>
      <c r="H5423" t="s">
        <v>5</v>
      </c>
      <c r="I5423" s="1">
        <v>34.020000000000003</v>
      </c>
      <c r="J5423" s="1">
        <v>33.67</v>
      </c>
      <c r="K5423" t="s">
        <v>6</v>
      </c>
    </row>
    <row r="5424" spans="1:11">
      <c r="A5424" t="s">
        <v>5486</v>
      </c>
      <c r="B5424">
        <v>338631</v>
      </c>
      <c r="C5424" s="2" t="str">
        <f>"063944"</f>
        <v>063944</v>
      </c>
      <c r="D5424" t="s">
        <v>5537</v>
      </c>
      <c r="E5424" t="s">
        <v>4</v>
      </c>
      <c r="F5424">
        <v>38</v>
      </c>
      <c r="H5424" t="s">
        <v>5</v>
      </c>
      <c r="I5424" s="1">
        <v>36.56</v>
      </c>
      <c r="J5424" s="1">
        <v>36.19</v>
      </c>
      <c r="K5424" t="s">
        <v>6</v>
      </c>
    </row>
    <row r="5425" spans="1:11">
      <c r="A5425" t="s">
        <v>5486</v>
      </c>
      <c r="B5425">
        <v>338637</v>
      </c>
      <c r="C5425" s="2" t="str">
        <f>"063946"</f>
        <v>063946</v>
      </c>
      <c r="D5425" t="s">
        <v>5538</v>
      </c>
      <c r="E5425" t="s">
        <v>4</v>
      </c>
      <c r="F5425">
        <v>36</v>
      </c>
      <c r="H5425" t="s">
        <v>5</v>
      </c>
      <c r="I5425" s="1">
        <v>36.56</v>
      </c>
      <c r="J5425" s="1">
        <v>36.19</v>
      </c>
      <c r="K5425" t="s">
        <v>6</v>
      </c>
    </row>
    <row r="5426" spans="1:11">
      <c r="A5426" t="s">
        <v>5486</v>
      </c>
      <c r="B5426">
        <v>338646</v>
      </c>
      <c r="C5426" s="2" t="str">
        <f>"063948"</f>
        <v>063948</v>
      </c>
      <c r="D5426" t="s">
        <v>5539</v>
      </c>
      <c r="E5426" t="s">
        <v>4</v>
      </c>
      <c r="F5426">
        <v>39</v>
      </c>
      <c r="H5426" t="s">
        <v>5</v>
      </c>
      <c r="I5426" s="1">
        <v>37.33</v>
      </c>
      <c r="J5426" s="1">
        <v>36.950000000000003</v>
      </c>
      <c r="K5426" t="s">
        <v>6</v>
      </c>
    </row>
    <row r="5427" spans="1:11">
      <c r="A5427" t="s">
        <v>5486</v>
      </c>
      <c r="B5427">
        <v>338616</v>
      </c>
      <c r="C5427" s="2" t="str">
        <f>"063952"</f>
        <v>063952</v>
      </c>
      <c r="D5427" t="s">
        <v>5540</v>
      </c>
      <c r="E5427" t="s">
        <v>4</v>
      </c>
      <c r="F5427">
        <v>53</v>
      </c>
      <c r="H5427" t="s">
        <v>4682</v>
      </c>
      <c r="I5427" s="1">
        <v>59.37</v>
      </c>
      <c r="J5427" s="1">
        <v>58.76</v>
      </c>
      <c r="K5427" t="s">
        <v>6</v>
      </c>
    </row>
    <row r="5428" spans="1:11">
      <c r="A5428" t="s">
        <v>5486</v>
      </c>
      <c r="B5428">
        <v>338622</v>
      </c>
      <c r="C5428" s="2" t="str">
        <f>"063953"</f>
        <v>063953</v>
      </c>
      <c r="D5428" t="s">
        <v>5541</v>
      </c>
      <c r="E5428" t="s">
        <v>4</v>
      </c>
      <c r="F5428">
        <v>46</v>
      </c>
      <c r="H5428" t="s">
        <v>4682</v>
      </c>
      <c r="I5428" s="1">
        <v>96.57</v>
      </c>
      <c r="J5428" s="1">
        <v>95.58</v>
      </c>
      <c r="K5428" t="s">
        <v>6</v>
      </c>
    </row>
    <row r="5429" spans="1:11">
      <c r="A5429" t="s">
        <v>5486</v>
      </c>
      <c r="B5429">
        <v>338625</v>
      </c>
      <c r="C5429" s="2" t="str">
        <f>"063962"</f>
        <v>063962</v>
      </c>
      <c r="D5429" t="s">
        <v>5542</v>
      </c>
      <c r="E5429" t="s">
        <v>4</v>
      </c>
      <c r="F5429">
        <v>41</v>
      </c>
      <c r="H5429" t="s">
        <v>5</v>
      </c>
      <c r="I5429" s="1">
        <v>48.03</v>
      </c>
      <c r="J5429" s="1">
        <v>47.54</v>
      </c>
      <c r="K5429" t="s">
        <v>6</v>
      </c>
    </row>
    <row r="5430" spans="1:11">
      <c r="A5430" t="s">
        <v>5486</v>
      </c>
      <c r="B5430">
        <v>338619</v>
      </c>
      <c r="C5430" s="2" t="str">
        <f>"063963"</f>
        <v>063963</v>
      </c>
      <c r="D5430" t="s">
        <v>5543</v>
      </c>
      <c r="E5430" t="s">
        <v>4</v>
      </c>
      <c r="F5430">
        <v>28</v>
      </c>
      <c r="H5430" t="s">
        <v>5</v>
      </c>
      <c r="I5430" s="1">
        <v>44.84</v>
      </c>
      <c r="J5430" s="1">
        <v>44.39</v>
      </c>
      <c r="K5430" t="s">
        <v>6</v>
      </c>
    </row>
    <row r="5431" spans="1:11">
      <c r="A5431" t="s">
        <v>5486</v>
      </c>
      <c r="B5431">
        <v>307296</v>
      </c>
      <c r="C5431" s="2" t="str">
        <f>"064091"</f>
        <v>064091</v>
      </c>
      <c r="D5431" t="s">
        <v>5544</v>
      </c>
      <c r="E5431" t="s">
        <v>4</v>
      </c>
      <c r="F5431">
        <v>3.6</v>
      </c>
      <c r="H5431" t="s">
        <v>5</v>
      </c>
      <c r="I5431" s="1">
        <v>60.9</v>
      </c>
      <c r="J5431" s="1">
        <v>60.28</v>
      </c>
      <c r="K5431" t="s">
        <v>6</v>
      </c>
    </row>
    <row r="5432" spans="1:11">
      <c r="A5432" t="s">
        <v>5486</v>
      </c>
      <c r="B5432">
        <v>374613</v>
      </c>
      <c r="C5432" s="2" t="str">
        <f>"064146"</f>
        <v>064146</v>
      </c>
      <c r="D5432" t="s">
        <v>5545</v>
      </c>
      <c r="E5432" t="s">
        <v>4</v>
      </c>
      <c r="F5432">
        <v>20</v>
      </c>
      <c r="H5432" t="s">
        <v>5</v>
      </c>
      <c r="I5432" s="1">
        <v>41.21</v>
      </c>
      <c r="J5432" s="1">
        <v>41.21</v>
      </c>
      <c r="K5432" t="s">
        <v>6</v>
      </c>
    </row>
    <row r="5433" spans="1:11">
      <c r="A5433" t="s">
        <v>5486</v>
      </c>
      <c r="B5433">
        <v>308124</v>
      </c>
      <c r="C5433" s="2" t="str">
        <f>"064149"</f>
        <v>064149</v>
      </c>
      <c r="D5433" t="s">
        <v>5546</v>
      </c>
      <c r="E5433" t="s">
        <v>4</v>
      </c>
      <c r="F5433">
        <v>8</v>
      </c>
      <c r="H5433" t="s">
        <v>5</v>
      </c>
      <c r="I5433" s="1">
        <v>46.12</v>
      </c>
      <c r="J5433" s="1">
        <v>45.65</v>
      </c>
      <c r="K5433" t="s">
        <v>6</v>
      </c>
    </row>
    <row r="5434" spans="1:11">
      <c r="A5434" t="s">
        <v>5486</v>
      </c>
      <c r="B5434">
        <v>301215</v>
      </c>
      <c r="C5434" s="2" t="str">
        <f>"064151"</f>
        <v>064151</v>
      </c>
      <c r="D5434" t="s">
        <v>5547</v>
      </c>
      <c r="E5434" t="s">
        <v>4</v>
      </c>
      <c r="F5434">
        <v>8</v>
      </c>
      <c r="H5434" t="s">
        <v>5</v>
      </c>
      <c r="I5434" s="1">
        <v>69.94</v>
      </c>
      <c r="J5434" s="1">
        <v>69.23</v>
      </c>
      <c r="K5434" t="s">
        <v>6</v>
      </c>
    </row>
    <row r="5435" spans="1:11">
      <c r="A5435" t="s">
        <v>5486</v>
      </c>
      <c r="B5435">
        <v>302317</v>
      </c>
      <c r="C5435" s="2" t="str">
        <f>"064154"</f>
        <v>064154</v>
      </c>
      <c r="D5435" t="s">
        <v>5548</v>
      </c>
      <c r="E5435" t="s">
        <v>4</v>
      </c>
      <c r="F5435">
        <v>9</v>
      </c>
      <c r="H5435" t="s">
        <v>5</v>
      </c>
      <c r="I5435" s="1">
        <v>34.14</v>
      </c>
      <c r="J5435" s="1">
        <v>33.79</v>
      </c>
      <c r="K5435" t="s">
        <v>6</v>
      </c>
    </row>
    <row r="5436" spans="1:11">
      <c r="A5436" t="s">
        <v>5486</v>
      </c>
      <c r="B5436">
        <v>299166</v>
      </c>
      <c r="C5436" s="2" t="str">
        <f>"064156"</f>
        <v>064156</v>
      </c>
      <c r="D5436" t="s">
        <v>5549</v>
      </c>
      <c r="E5436" t="s">
        <v>4</v>
      </c>
      <c r="F5436">
        <v>8</v>
      </c>
      <c r="H5436" t="s">
        <v>5</v>
      </c>
      <c r="I5436" s="1">
        <v>38.86</v>
      </c>
      <c r="J5436" s="1">
        <v>38.46</v>
      </c>
      <c r="K5436" t="s">
        <v>6</v>
      </c>
    </row>
    <row r="5437" spans="1:11">
      <c r="A5437" t="s">
        <v>5486</v>
      </c>
      <c r="B5437">
        <v>302139</v>
      </c>
      <c r="C5437" s="2" t="str">
        <f>"064158"</f>
        <v>064158</v>
      </c>
      <c r="D5437" t="s">
        <v>5550</v>
      </c>
      <c r="E5437" t="s">
        <v>4</v>
      </c>
      <c r="F5437">
        <v>9</v>
      </c>
      <c r="H5437" t="s">
        <v>5</v>
      </c>
      <c r="I5437" s="1">
        <v>31.85</v>
      </c>
      <c r="J5437" s="1">
        <v>31.85</v>
      </c>
      <c r="K5437" t="s">
        <v>6</v>
      </c>
    </row>
    <row r="5438" spans="1:11">
      <c r="A5438" t="s">
        <v>5486</v>
      </c>
      <c r="B5438">
        <v>298228</v>
      </c>
      <c r="C5438" s="2" t="str">
        <f>"064162"</f>
        <v>064162</v>
      </c>
      <c r="D5438" t="s">
        <v>5551</v>
      </c>
      <c r="E5438" t="s">
        <v>4</v>
      </c>
      <c r="F5438">
        <v>8</v>
      </c>
      <c r="H5438" t="s">
        <v>5</v>
      </c>
      <c r="I5438" s="1">
        <v>27.82</v>
      </c>
      <c r="J5438" s="1">
        <v>27.82</v>
      </c>
      <c r="K5438" t="s">
        <v>6</v>
      </c>
    </row>
    <row r="5439" spans="1:11">
      <c r="A5439" t="s">
        <v>5486</v>
      </c>
      <c r="B5439">
        <v>302299</v>
      </c>
      <c r="C5439" s="2" t="str">
        <f>"064164"</f>
        <v>064164</v>
      </c>
      <c r="D5439" t="s">
        <v>5552</v>
      </c>
      <c r="E5439" t="s">
        <v>4</v>
      </c>
      <c r="F5439">
        <v>9</v>
      </c>
      <c r="H5439" t="s">
        <v>5</v>
      </c>
      <c r="I5439" s="1">
        <v>40.43</v>
      </c>
      <c r="J5439" s="1">
        <v>40.43</v>
      </c>
      <c r="K5439" t="s">
        <v>6</v>
      </c>
    </row>
    <row r="5440" spans="1:11">
      <c r="A5440" t="s">
        <v>5486</v>
      </c>
      <c r="B5440">
        <v>305142</v>
      </c>
      <c r="C5440" s="2" t="str">
        <f>"064166"</f>
        <v>064166</v>
      </c>
      <c r="D5440" t="s">
        <v>5553</v>
      </c>
      <c r="E5440" t="s">
        <v>4</v>
      </c>
      <c r="F5440">
        <v>9</v>
      </c>
      <c r="H5440" t="s">
        <v>5</v>
      </c>
      <c r="I5440" s="1">
        <v>40.26</v>
      </c>
      <c r="J5440" s="1">
        <v>39.85</v>
      </c>
      <c r="K5440" t="s">
        <v>6</v>
      </c>
    </row>
    <row r="5441" spans="1:11">
      <c r="A5441" t="s">
        <v>5486</v>
      </c>
      <c r="B5441">
        <v>364935</v>
      </c>
      <c r="C5441" s="2" t="str">
        <f>"064660"</f>
        <v>064660</v>
      </c>
      <c r="D5441" t="s">
        <v>5554</v>
      </c>
      <c r="E5441" t="s">
        <v>4</v>
      </c>
      <c r="F5441">
        <v>31</v>
      </c>
      <c r="H5441" t="s">
        <v>5</v>
      </c>
      <c r="I5441" s="1">
        <v>60.64</v>
      </c>
      <c r="J5441" s="1">
        <v>60.02</v>
      </c>
      <c r="K5441" t="s">
        <v>6</v>
      </c>
    </row>
    <row r="5442" spans="1:11">
      <c r="A5442" t="s">
        <v>5486</v>
      </c>
      <c r="B5442">
        <v>348034</v>
      </c>
      <c r="C5442" s="2" t="str">
        <f>"064666"</f>
        <v>064666</v>
      </c>
      <c r="D5442" t="s">
        <v>5555</v>
      </c>
      <c r="E5442" t="s">
        <v>4</v>
      </c>
      <c r="F5442">
        <v>16</v>
      </c>
      <c r="H5442" t="s">
        <v>5</v>
      </c>
      <c r="I5442" s="1">
        <v>62.43</v>
      </c>
      <c r="J5442" s="1">
        <v>61.79</v>
      </c>
      <c r="K5442" t="s">
        <v>6</v>
      </c>
    </row>
    <row r="5443" spans="1:11">
      <c r="A5443" t="s">
        <v>5486</v>
      </c>
      <c r="B5443">
        <v>347354</v>
      </c>
      <c r="C5443" s="2" t="str">
        <f>"064668"</f>
        <v>064668</v>
      </c>
      <c r="D5443" t="s">
        <v>5556</v>
      </c>
      <c r="E5443" t="s">
        <v>4</v>
      </c>
      <c r="F5443">
        <v>32</v>
      </c>
      <c r="H5443" t="s">
        <v>5</v>
      </c>
      <c r="I5443" s="1">
        <v>118.99</v>
      </c>
      <c r="J5443" s="1">
        <v>117.78</v>
      </c>
      <c r="K5443" t="s">
        <v>6</v>
      </c>
    </row>
    <row r="5444" spans="1:11">
      <c r="A5444" t="s">
        <v>5486</v>
      </c>
      <c r="B5444">
        <v>412948</v>
      </c>
      <c r="C5444" s="2" t="str">
        <f>"064677"</f>
        <v>064677</v>
      </c>
      <c r="D5444" t="s">
        <v>5557</v>
      </c>
      <c r="E5444" t="s">
        <v>4</v>
      </c>
      <c r="F5444">
        <v>15.88</v>
      </c>
      <c r="H5444" t="s">
        <v>5</v>
      </c>
      <c r="I5444" s="1">
        <v>49.56</v>
      </c>
      <c r="J5444" s="1">
        <v>49.05</v>
      </c>
      <c r="K5444" t="s">
        <v>6</v>
      </c>
    </row>
    <row r="5445" spans="1:11">
      <c r="A5445" t="s">
        <v>5486</v>
      </c>
      <c r="B5445">
        <v>358623</v>
      </c>
      <c r="C5445" s="2" t="str">
        <f>"064684"</f>
        <v>064684</v>
      </c>
      <c r="D5445" t="s">
        <v>5558</v>
      </c>
      <c r="E5445" t="s">
        <v>4</v>
      </c>
      <c r="F5445">
        <v>16</v>
      </c>
      <c r="H5445" t="s">
        <v>5</v>
      </c>
      <c r="I5445" s="1">
        <v>46.88</v>
      </c>
      <c r="J5445" s="1">
        <v>46.4</v>
      </c>
      <c r="K5445" t="s">
        <v>6</v>
      </c>
    </row>
    <row r="5446" spans="1:11">
      <c r="A5446" t="s">
        <v>5486</v>
      </c>
      <c r="B5446">
        <v>338423</v>
      </c>
      <c r="C5446" s="2" t="str">
        <f>"064686"</f>
        <v>064686</v>
      </c>
      <c r="D5446" t="s">
        <v>5559</v>
      </c>
      <c r="E5446" t="s">
        <v>4</v>
      </c>
      <c r="F5446">
        <v>30</v>
      </c>
      <c r="H5446" t="s">
        <v>5</v>
      </c>
      <c r="I5446" s="1">
        <v>88.16</v>
      </c>
      <c r="J5446" s="1">
        <v>87.26</v>
      </c>
      <c r="K5446" t="s">
        <v>6</v>
      </c>
    </row>
    <row r="5447" spans="1:11">
      <c r="A5447" t="s">
        <v>5486</v>
      </c>
      <c r="B5447">
        <v>358625</v>
      </c>
      <c r="C5447" s="2" t="str">
        <f>"064704"</f>
        <v>064704</v>
      </c>
      <c r="D5447" t="s">
        <v>5560</v>
      </c>
      <c r="E5447" t="s">
        <v>4</v>
      </c>
      <c r="F5447">
        <v>16</v>
      </c>
      <c r="H5447" t="s">
        <v>5</v>
      </c>
      <c r="I5447" s="1">
        <v>76.69</v>
      </c>
      <c r="J5447" s="1">
        <v>75.91</v>
      </c>
      <c r="K5447" t="s">
        <v>6</v>
      </c>
    </row>
    <row r="5448" spans="1:11">
      <c r="A5448" t="s">
        <v>5486</v>
      </c>
      <c r="B5448">
        <v>343382</v>
      </c>
      <c r="C5448" s="2" t="str">
        <f>"064853"</f>
        <v>064853</v>
      </c>
      <c r="D5448" t="s">
        <v>5561</v>
      </c>
      <c r="E5448" t="s">
        <v>4</v>
      </c>
      <c r="F5448">
        <v>28.8</v>
      </c>
      <c r="H5448" t="s">
        <v>5</v>
      </c>
      <c r="I5448" s="1">
        <v>36.69</v>
      </c>
      <c r="J5448" s="1">
        <v>36.32</v>
      </c>
      <c r="K5448" t="s">
        <v>6</v>
      </c>
    </row>
    <row r="5449" spans="1:11">
      <c r="A5449" t="s">
        <v>5486</v>
      </c>
      <c r="B5449">
        <v>354352</v>
      </c>
      <c r="C5449" s="2" t="str">
        <f>"064868"</f>
        <v>064868</v>
      </c>
      <c r="D5449" t="s">
        <v>5562</v>
      </c>
      <c r="E5449" t="s">
        <v>4</v>
      </c>
      <c r="F5449">
        <v>8.92</v>
      </c>
      <c r="H5449" t="s">
        <v>5</v>
      </c>
      <c r="I5449" s="1">
        <v>89.05</v>
      </c>
      <c r="J5449" s="1">
        <v>88.14</v>
      </c>
      <c r="K5449" t="s">
        <v>6</v>
      </c>
    </row>
    <row r="5450" spans="1:11">
      <c r="A5450" t="s">
        <v>5486</v>
      </c>
      <c r="B5450">
        <v>365140</v>
      </c>
      <c r="C5450" s="2" t="str">
        <f>"064871"</f>
        <v>064871</v>
      </c>
      <c r="D5450" t="s">
        <v>5563</v>
      </c>
      <c r="E5450" t="s">
        <v>4</v>
      </c>
      <c r="F5450">
        <v>10</v>
      </c>
      <c r="H5450" t="s">
        <v>5</v>
      </c>
      <c r="I5450" s="1">
        <v>55.16</v>
      </c>
      <c r="J5450" s="1">
        <v>54.6</v>
      </c>
      <c r="K5450" t="s">
        <v>6</v>
      </c>
    </row>
    <row r="5451" spans="1:11">
      <c r="A5451" t="s">
        <v>5486</v>
      </c>
      <c r="B5451">
        <v>354354</v>
      </c>
      <c r="C5451" s="2" t="str">
        <f>"064872"</f>
        <v>064872</v>
      </c>
      <c r="D5451" t="s">
        <v>5564</v>
      </c>
      <c r="E5451" t="s">
        <v>4</v>
      </c>
      <c r="F5451">
        <v>8.9</v>
      </c>
      <c r="H5451" t="s">
        <v>5</v>
      </c>
      <c r="I5451" s="1">
        <v>104.6</v>
      </c>
      <c r="J5451" s="1">
        <v>103.53</v>
      </c>
      <c r="K5451" t="s">
        <v>6</v>
      </c>
    </row>
    <row r="5452" spans="1:11">
      <c r="A5452" t="s">
        <v>5486</v>
      </c>
      <c r="B5452">
        <v>438095</v>
      </c>
      <c r="C5452" s="2" t="str">
        <f>"065584"</f>
        <v>065584</v>
      </c>
      <c r="D5452" t="s">
        <v>5565</v>
      </c>
      <c r="E5452" t="s">
        <v>4</v>
      </c>
      <c r="F5452">
        <v>28.57</v>
      </c>
      <c r="H5452" t="s">
        <v>5</v>
      </c>
      <c r="I5452" s="1">
        <v>41.15</v>
      </c>
      <c r="J5452" s="1">
        <v>40.729999999999997</v>
      </c>
      <c r="K5452" t="s">
        <v>6</v>
      </c>
    </row>
    <row r="5453" spans="1:11">
      <c r="A5453" t="s">
        <v>5486</v>
      </c>
      <c r="B5453">
        <v>196419</v>
      </c>
      <c r="C5453" s="2" t="str">
        <f>"066457"</f>
        <v>066457</v>
      </c>
      <c r="D5453" t="s">
        <v>5566</v>
      </c>
      <c r="E5453" t="s">
        <v>4</v>
      </c>
      <c r="F5453">
        <v>35</v>
      </c>
      <c r="H5453" t="s">
        <v>5</v>
      </c>
      <c r="I5453" s="1">
        <v>52.23</v>
      </c>
      <c r="J5453" s="1">
        <v>51.7</v>
      </c>
      <c r="K5453" t="s">
        <v>6</v>
      </c>
    </row>
    <row r="5454" spans="1:11">
      <c r="A5454" t="s">
        <v>5486</v>
      </c>
      <c r="B5454">
        <v>412244</v>
      </c>
      <c r="C5454" s="2" t="str">
        <f>"066481"</f>
        <v>066481</v>
      </c>
      <c r="D5454" t="s">
        <v>5567</v>
      </c>
      <c r="E5454" t="s">
        <v>4</v>
      </c>
      <c r="F5454">
        <v>36.9</v>
      </c>
      <c r="H5454" t="s">
        <v>5</v>
      </c>
      <c r="I5454" s="1">
        <v>57.2</v>
      </c>
      <c r="J5454" s="1">
        <v>56.62</v>
      </c>
      <c r="K5454" t="s">
        <v>6</v>
      </c>
    </row>
    <row r="5455" spans="1:11">
      <c r="A5455" t="s">
        <v>5486</v>
      </c>
      <c r="B5455">
        <v>430882</v>
      </c>
      <c r="C5455" s="2" t="str">
        <f>"076392"</f>
        <v>076392</v>
      </c>
      <c r="D5455" t="s">
        <v>5568</v>
      </c>
      <c r="E5455" t="s">
        <v>4</v>
      </c>
      <c r="F5455">
        <v>26.3</v>
      </c>
      <c r="H5455" t="s">
        <v>5</v>
      </c>
      <c r="I5455" s="1">
        <v>39.11</v>
      </c>
      <c r="J5455" s="1">
        <v>38.71</v>
      </c>
      <c r="K5455" t="s">
        <v>6</v>
      </c>
    </row>
    <row r="5456" spans="1:11">
      <c r="A5456" t="s">
        <v>5486</v>
      </c>
      <c r="B5456">
        <v>432094</v>
      </c>
      <c r="C5456" s="2" t="str">
        <f>"077231"</f>
        <v>077231</v>
      </c>
      <c r="D5456" t="s">
        <v>5569</v>
      </c>
      <c r="E5456" t="s">
        <v>4</v>
      </c>
      <c r="F5456">
        <v>27.12</v>
      </c>
      <c r="H5456" t="s">
        <v>5</v>
      </c>
      <c r="I5456" s="1">
        <v>36.69</v>
      </c>
      <c r="J5456" s="1">
        <v>36.32</v>
      </c>
      <c r="K5456" t="s">
        <v>6</v>
      </c>
    </row>
    <row r="5457" spans="1:11">
      <c r="A5457" t="s">
        <v>5486</v>
      </c>
      <c r="B5457">
        <v>397028</v>
      </c>
      <c r="C5457" s="2" t="str">
        <f>"077418"</f>
        <v>077418</v>
      </c>
      <c r="D5457" t="s">
        <v>5570</v>
      </c>
      <c r="E5457" t="s">
        <v>4</v>
      </c>
      <c r="F5457">
        <v>14.71</v>
      </c>
      <c r="H5457" t="s">
        <v>5</v>
      </c>
      <c r="I5457" s="1">
        <v>16.77</v>
      </c>
      <c r="J5457" s="1">
        <v>16.77</v>
      </c>
      <c r="K5457" t="s">
        <v>6</v>
      </c>
    </row>
    <row r="5458" spans="1:11">
      <c r="A5458" t="s">
        <v>5486</v>
      </c>
      <c r="B5458">
        <v>424425</v>
      </c>
      <c r="C5458" s="2" t="str">
        <f>"3041211"</f>
        <v>3041211</v>
      </c>
      <c r="D5458" t="s">
        <v>5571</v>
      </c>
      <c r="E5458" t="s">
        <v>4</v>
      </c>
      <c r="F5458">
        <v>10.41</v>
      </c>
      <c r="H5458" t="s">
        <v>5</v>
      </c>
      <c r="I5458" s="1">
        <v>52.36</v>
      </c>
      <c r="J5458" s="1">
        <v>51.83</v>
      </c>
      <c r="K5458" t="s">
        <v>6</v>
      </c>
    </row>
    <row r="5459" spans="1:11">
      <c r="A5459" t="s">
        <v>5486</v>
      </c>
      <c r="B5459">
        <v>432900</v>
      </c>
      <c r="C5459" s="2" t="str">
        <f>"3041220"</f>
        <v>3041220</v>
      </c>
      <c r="D5459" t="s">
        <v>5572</v>
      </c>
      <c r="E5459" t="s">
        <v>4</v>
      </c>
      <c r="F5459">
        <v>18.34</v>
      </c>
      <c r="H5459" t="s">
        <v>5</v>
      </c>
      <c r="I5459" s="1">
        <v>66.5</v>
      </c>
      <c r="J5459" s="1">
        <v>65.819999999999993</v>
      </c>
      <c r="K5459" t="s">
        <v>6</v>
      </c>
    </row>
    <row r="5460" spans="1:11">
      <c r="A5460" t="s">
        <v>5486</v>
      </c>
      <c r="B5460">
        <v>429029</v>
      </c>
      <c r="C5460" s="2" t="str">
        <f>"3183691"</f>
        <v>3183691</v>
      </c>
      <c r="D5460" t="s">
        <v>5573</v>
      </c>
      <c r="E5460" t="s">
        <v>4</v>
      </c>
      <c r="F5460">
        <v>13.47</v>
      </c>
      <c r="H5460" t="s">
        <v>5</v>
      </c>
      <c r="I5460" s="1">
        <v>23.4</v>
      </c>
      <c r="J5460" s="1">
        <v>23.4</v>
      </c>
      <c r="K5460" t="s">
        <v>6</v>
      </c>
    </row>
    <row r="5461" spans="1:11">
      <c r="A5461" t="s">
        <v>5486</v>
      </c>
      <c r="B5461">
        <v>429030</v>
      </c>
      <c r="C5461" s="2" t="str">
        <f>"3183703"</f>
        <v>3183703</v>
      </c>
      <c r="D5461" t="s">
        <v>5574</v>
      </c>
      <c r="E5461" t="s">
        <v>4</v>
      </c>
      <c r="F5461">
        <v>13.77</v>
      </c>
      <c r="H5461" t="s">
        <v>5</v>
      </c>
      <c r="I5461" s="1">
        <v>20.02</v>
      </c>
      <c r="J5461" s="1">
        <v>20.02</v>
      </c>
      <c r="K5461" t="s">
        <v>6</v>
      </c>
    </row>
    <row r="5462" spans="1:11">
      <c r="A5462" t="s">
        <v>5486</v>
      </c>
      <c r="B5462">
        <v>429031</v>
      </c>
      <c r="C5462" s="2" t="str">
        <f>"3183711"</f>
        <v>3183711</v>
      </c>
      <c r="D5462" t="s">
        <v>5575</v>
      </c>
      <c r="E5462" t="s">
        <v>4</v>
      </c>
      <c r="F5462">
        <v>13.84</v>
      </c>
      <c r="H5462" t="s">
        <v>5</v>
      </c>
      <c r="I5462" s="1">
        <v>26.37</v>
      </c>
      <c r="J5462" s="1">
        <v>26.1</v>
      </c>
      <c r="K5462" t="s">
        <v>6</v>
      </c>
    </row>
    <row r="5463" spans="1:11">
      <c r="A5463" t="s">
        <v>5486</v>
      </c>
      <c r="B5463">
        <v>429032</v>
      </c>
      <c r="C5463" s="2" t="str">
        <f>"3183720"</f>
        <v>3183720</v>
      </c>
      <c r="D5463" t="s">
        <v>5576</v>
      </c>
      <c r="E5463" t="s">
        <v>4</v>
      </c>
      <c r="F5463">
        <v>13.97</v>
      </c>
      <c r="H5463" t="s">
        <v>5</v>
      </c>
      <c r="I5463" s="1">
        <v>23.06</v>
      </c>
      <c r="J5463" s="1">
        <v>22.82</v>
      </c>
      <c r="K5463" t="s">
        <v>6</v>
      </c>
    </row>
    <row r="5464" spans="1:11">
      <c r="A5464" t="s">
        <v>5486</v>
      </c>
      <c r="B5464">
        <v>429033</v>
      </c>
      <c r="C5464" s="2" t="str">
        <f>"3183738"</f>
        <v>3183738</v>
      </c>
      <c r="D5464" t="s">
        <v>5577</v>
      </c>
      <c r="E5464" t="s">
        <v>4</v>
      </c>
      <c r="F5464">
        <v>14.47</v>
      </c>
      <c r="H5464" t="s">
        <v>5</v>
      </c>
      <c r="I5464" s="1">
        <v>17.55</v>
      </c>
      <c r="J5464" s="1">
        <v>17.55</v>
      </c>
      <c r="K5464" t="s">
        <v>6</v>
      </c>
    </row>
    <row r="5465" spans="1:11">
      <c r="A5465" t="s">
        <v>5486</v>
      </c>
      <c r="B5465">
        <v>429035</v>
      </c>
      <c r="C5465" s="2" t="str">
        <f>"3183754"</f>
        <v>3183754</v>
      </c>
      <c r="D5465" t="s">
        <v>5578</v>
      </c>
      <c r="E5465" t="s">
        <v>4</v>
      </c>
      <c r="F5465">
        <v>13.47</v>
      </c>
      <c r="H5465" t="s">
        <v>5</v>
      </c>
      <c r="I5465" s="1">
        <v>28.16</v>
      </c>
      <c r="J5465" s="1">
        <v>27.87</v>
      </c>
      <c r="K5465" t="s">
        <v>6</v>
      </c>
    </row>
    <row r="5466" spans="1:11">
      <c r="A5466" t="s">
        <v>5486</v>
      </c>
      <c r="B5466">
        <v>429036</v>
      </c>
      <c r="C5466" s="2" t="str">
        <f>"3187405"</f>
        <v>3187405</v>
      </c>
      <c r="D5466" t="s">
        <v>5579</v>
      </c>
      <c r="E5466" t="s">
        <v>4</v>
      </c>
      <c r="F5466">
        <v>13.34</v>
      </c>
      <c r="H5466" t="s">
        <v>5</v>
      </c>
      <c r="I5466" s="1">
        <v>21.58</v>
      </c>
      <c r="J5466" s="1">
        <v>21.58</v>
      </c>
      <c r="K5466" t="s">
        <v>6</v>
      </c>
    </row>
    <row r="5467" spans="1:11">
      <c r="A5467" t="s">
        <v>5486</v>
      </c>
      <c r="B5467">
        <v>429147</v>
      </c>
      <c r="C5467" s="2" t="str">
        <f>"3296521"</f>
        <v>3296521</v>
      </c>
      <c r="D5467" t="s">
        <v>5580</v>
      </c>
      <c r="E5467" t="s">
        <v>4</v>
      </c>
      <c r="F5467">
        <v>44.79</v>
      </c>
      <c r="H5467" t="s">
        <v>5</v>
      </c>
      <c r="I5467" s="1">
        <v>127.02</v>
      </c>
      <c r="J5467" s="1">
        <v>125.72</v>
      </c>
      <c r="K5467" t="s">
        <v>6</v>
      </c>
    </row>
    <row r="5468" spans="1:11">
      <c r="A5468" t="s">
        <v>5486</v>
      </c>
      <c r="B5468">
        <v>461042</v>
      </c>
      <c r="C5468" s="2" t="str">
        <f>"4327414"</f>
        <v>4327414</v>
      </c>
      <c r="D5468" t="s">
        <v>5581</v>
      </c>
      <c r="E5468" t="s">
        <v>4</v>
      </c>
      <c r="F5468">
        <v>9.9</v>
      </c>
      <c r="H5468" t="s">
        <v>5</v>
      </c>
      <c r="I5468" s="1">
        <v>56.81</v>
      </c>
      <c r="J5468" s="1">
        <v>56.81</v>
      </c>
      <c r="K5468" t="s">
        <v>6</v>
      </c>
    </row>
    <row r="5469" spans="1:11">
      <c r="A5469" t="s">
        <v>5486</v>
      </c>
      <c r="B5469">
        <v>463760</v>
      </c>
      <c r="C5469" s="2" t="str">
        <f>"4327473"</f>
        <v>4327473</v>
      </c>
      <c r="D5469" t="s">
        <v>5582</v>
      </c>
      <c r="E5469" t="s">
        <v>4</v>
      </c>
      <c r="F5469">
        <v>9.9</v>
      </c>
      <c r="H5469" t="s">
        <v>5</v>
      </c>
      <c r="I5469" s="1">
        <v>89.69</v>
      </c>
      <c r="J5469" s="1">
        <v>88.77</v>
      </c>
      <c r="K5469" t="s">
        <v>6</v>
      </c>
    </row>
    <row r="5470" spans="1:11">
      <c r="A5470" t="s">
        <v>5486</v>
      </c>
      <c r="B5470">
        <v>471805</v>
      </c>
      <c r="C5470" s="2" t="str">
        <f>"4421363"</f>
        <v>4421363</v>
      </c>
      <c r="D5470" t="s">
        <v>5583</v>
      </c>
      <c r="E5470" t="s">
        <v>4</v>
      </c>
      <c r="F5470">
        <v>36.090000000000003</v>
      </c>
      <c r="H5470" t="s">
        <v>5</v>
      </c>
      <c r="I5470" s="1">
        <v>66.63</v>
      </c>
      <c r="J5470" s="1">
        <v>65.95</v>
      </c>
      <c r="K5470" t="s">
        <v>6</v>
      </c>
    </row>
    <row r="5471" spans="1:11">
      <c r="A5471" t="s">
        <v>5486</v>
      </c>
      <c r="B5471">
        <v>472350</v>
      </c>
      <c r="C5471" s="2" t="str">
        <f>"4486191"</f>
        <v>4486191</v>
      </c>
      <c r="D5471" t="s">
        <v>5584</v>
      </c>
      <c r="E5471" t="s">
        <v>4</v>
      </c>
      <c r="F5471">
        <v>22.48</v>
      </c>
      <c r="H5471" t="s">
        <v>5</v>
      </c>
      <c r="I5471" s="1">
        <v>47.71</v>
      </c>
      <c r="J5471" s="1">
        <v>47.71</v>
      </c>
      <c r="K5471" t="s">
        <v>6</v>
      </c>
    </row>
    <row r="5472" spans="1:11">
      <c r="A5472" t="s">
        <v>5486</v>
      </c>
      <c r="B5472">
        <v>472345</v>
      </c>
      <c r="C5472" s="2" t="str">
        <f>"4486298"</f>
        <v>4486298</v>
      </c>
      <c r="D5472" t="s">
        <v>5585</v>
      </c>
      <c r="E5472" t="s">
        <v>4</v>
      </c>
      <c r="F5472">
        <v>17.93</v>
      </c>
      <c r="H5472" t="s">
        <v>5</v>
      </c>
      <c r="I5472" s="1">
        <v>61.62</v>
      </c>
      <c r="J5472" s="1">
        <v>61.62</v>
      </c>
      <c r="K5472" t="s">
        <v>6</v>
      </c>
    </row>
    <row r="5473" spans="1:11">
      <c r="A5473" t="s">
        <v>5486</v>
      </c>
      <c r="B5473">
        <v>456147</v>
      </c>
      <c r="C5473" s="2" t="str">
        <f>"5007674"</f>
        <v>5007674</v>
      </c>
      <c r="D5473" t="s">
        <v>5586</v>
      </c>
      <c r="E5473" t="s">
        <v>4</v>
      </c>
      <c r="F5473">
        <v>40.049999999999997</v>
      </c>
      <c r="H5473" t="s">
        <v>5</v>
      </c>
      <c r="I5473" s="1">
        <v>68.41</v>
      </c>
      <c r="J5473" s="1">
        <v>67.72</v>
      </c>
      <c r="K5473" t="s">
        <v>6</v>
      </c>
    </row>
    <row r="5474" spans="1:11">
      <c r="A5474" t="s">
        <v>5486</v>
      </c>
      <c r="B5474">
        <v>438764</v>
      </c>
      <c r="C5474" s="2" t="str">
        <f>"5009047"</f>
        <v>5009047</v>
      </c>
      <c r="D5474" t="s">
        <v>5587</v>
      </c>
      <c r="E5474" t="s">
        <v>4</v>
      </c>
      <c r="F5474">
        <v>37.58</v>
      </c>
      <c r="H5474" t="s">
        <v>5</v>
      </c>
      <c r="I5474" s="1">
        <v>48.92</v>
      </c>
      <c r="J5474" s="1">
        <v>48.42</v>
      </c>
      <c r="K5474" t="s">
        <v>6</v>
      </c>
    </row>
    <row r="5475" spans="1:11">
      <c r="A5475" t="s">
        <v>5486</v>
      </c>
      <c r="B5475">
        <v>566301</v>
      </c>
      <c r="C5475" s="2" t="str">
        <f>"5325998"</f>
        <v>5325998</v>
      </c>
      <c r="D5475" t="s">
        <v>5588</v>
      </c>
      <c r="E5475" t="s">
        <v>4</v>
      </c>
      <c r="F5475">
        <v>31.27</v>
      </c>
      <c r="H5475" t="s">
        <v>5</v>
      </c>
      <c r="I5475" s="1">
        <v>125.13</v>
      </c>
      <c r="J5475" s="1">
        <v>123.86</v>
      </c>
      <c r="K5475" t="s">
        <v>6</v>
      </c>
    </row>
    <row r="5476" spans="1:11">
      <c r="A5476" t="s">
        <v>5486</v>
      </c>
      <c r="B5476">
        <v>566300</v>
      </c>
      <c r="C5476" s="2" t="str">
        <f>"5331749"</f>
        <v>5331749</v>
      </c>
      <c r="D5476" t="s">
        <v>5589</v>
      </c>
      <c r="E5476" t="s">
        <v>4</v>
      </c>
      <c r="F5476">
        <v>31.95</v>
      </c>
      <c r="H5476" t="s">
        <v>5</v>
      </c>
      <c r="I5476" s="1">
        <v>168.73</v>
      </c>
      <c r="J5476" s="1">
        <v>167.01</v>
      </c>
      <c r="K5476" t="s">
        <v>6</v>
      </c>
    </row>
    <row r="5477" spans="1:11">
      <c r="A5477" t="s">
        <v>5486</v>
      </c>
      <c r="B5477">
        <v>566305</v>
      </c>
      <c r="C5477" s="2" t="str">
        <f>"5331870"</f>
        <v>5331870</v>
      </c>
      <c r="D5477" t="s">
        <v>5590</v>
      </c>
      <c r="E5477" t="s">
        <v>4</v>
      </c>
      <c r="F5477">
        <v>38.200000000000003</v>
      </c>
      <c r="H5477" t="s">
        <v>5</v>
      </c>
      <c r="I5477" s="1">
        <v>91.52</v>
      </c>
      <c r="J5477" s="1">
        <v>90.59</v>
      </c>
      <c r="K5477" t="s">
        <v>6</v>
      </c>
    </row>
    <row r="5478" spans="1:11">
      <c r="A5478" t="s">
        <v>5486</v>
      </c>
      <c r="B5478">
        <v>566307</v>
      </c>
      <c r="C5478" s="2" t="str">
        <f>"5331933"</f>
        <v>5331933</v>
      </c>
      <c r="D5478" t="s">
        <v>5591</v>
      </c>
      <c r="E5478" t="s">
        <v>4</v>
      </c>
      <c r="F5478">
        <v>28.62</v>
      </c>
      <c r="H5478" t="s">
        <v>5</v>
      </c>
      <c r="I5478" s="1">
        <v>159.71</v>
      </c>
      <c r="J5478" s="1">
        <v>158.08000000000001</v>
      </c>
      <c r="K5478" t="s">
        <v>6</v>
      </c>
    </row>
    <row r="5479" spans="1:11">
      <c r="A5479" t="s">
        <v>5486</v>
      </c>
      <c r="B5479">
        <v>566309</v>
      </c>
      <c r="C5479" s="2" t="str">
        <f>"5336478"</f>
        <v>5336478</v>
      </c>
      <c r="D5479" t="s">
        <v>5592</v>
      </c>
      <c r="E5479" t="s">
        <v>4</v>
      </c>
      <c r="F5479">
        <v>27.15</v>
      </c>
      <c r="H5479" t="s">
        <v>5</v>
      </c>
      <c r="I5479" s="1">
        <v>101.41</v>
      </c>
      <c r="J5479" s="1">
        <v>100.38</v>
      </c>
      <c r="K5479" t="s">
        <v>6</v>
      </c>
    </row>
    <row r="5480" spans="1:11">
      <c r="A5480" t="s">
        <v>5486</v>
      </c>
      <c r="B5480">
        <v>566310</v>
      </c>
      <c r="C5480" s="2" t="str">
        <f>"5336742"</f>
        <v>5336742</v>
      </c>
      <c r="D5480" t="s">
        <v>5593</v>
      </c>
      <c r="E5480" t="s">
        <v>4</v>
      </c>
      <c r="F5480">
        <v>41.51</v>
      </c>
      <c r="H5480" t="s">
        <v>5</v>
      </c>
      <c r="I5480" s="1">
        <v>155.68</v>
      </c>
      <c r="J5480" s="1">
        <v>154.09</v>
      </c>
      <c r="K5480" t="s">
        <v>6</v>
      </c>
    </row>
    <row r="5481" spans="1:11">
      <c r="A5481" t="s">
        <v>5486</v>
      </c>
      <c r="B5481">
        <v>566308</v>
      </c>
      <c r="C5481" s="2" t="str">
        <f>"5337745"</f>
        <v>5337745</v>
      </c>
      <c r="D5481" t="s">
        <v>5594</v>
      </c>
      <c r="E5481" t="s">
        <v>4</v>
      </c>
      <c r="F5481">
        <v>32.1</v>
      </c>
      <c r="H5481" t="s">
        <v>5</v>
      </c>
      <c r="I5481" s="1">
        <v>50.83</v>
      </c>
      <c r="J5481" s="1">
        <v>50.31</v>
      </c>
      <c r="K5481" t="s">
        <v>6</v>
      </c>
    </row>
    <row r="5482" spans="1:11">
      <c r="A5482" t="s">
        <v>5486</v>
      </c>
      <c r="B5482">
        <v>566290</v>
      </c>
      <c r="C5482" s="2" t="str">
        <f>"5337999"</f>
        <v>5337999</v>
      </c>
      <c r="D5482" t="s">
        <v>5595</v>
      </c>
      <c r="E5482" t="s">
        <v>4</v>
      </c>
      <c r="F5482">
        <v>28.2</v>
      </c>
      <c r="H5482" t="s">
        <v>5</v>
      </c>
      <c r="I5482" s="1">
        <v>83.55</v>
      </c>
      <c r="J5482" s="1">
        <v>82.7</v>
      </c>
      <c r="K5482" t="s">
        <v>6</v>
      </c>
    </row>
    <row r="5483" spans="1:11">
      <c r="A5483" t="s">
        <v>5486</v>
      </c>
      <c r="B5483">
        <v>566292</v>
      </c>
      <c r="C5483" s="2" t="str">
        <f>"5338879"</f>
        <v>5338879</v>
      </c>
      <c r="D5483" t="s">
        <v>5596</v>
      </c>
      <c r="E5483" t="s">
        <v>4</v>
      </c>
      <c r="F5483">
        <v>27.32</v>
      </c>
      <c r="H5483" t="s">
        <v>5</v>
      </c>
      <c r="I5483" s="1">
        <v>108.54</v>
      </c>
      <c r="J5483" s="1">
        <v>107.44</v>
      </c>
      <c r="K5483" t="s">
        <v>6</v>
      </c>
    </row>
    <row r="5484" spans="1:11">
      <c r="A5484" t="s">
        <v>5486</v>
      </c>
      <c r="B5484">
        <v>566291</v>
      </c>
      <c r="C5484" s="2" t="str">
        <f>"5339177"</f>
        <v>5339177</v>
      </c>
      <c r="D5484" t="s">
        <v>5597</v>
      </c>
      <c r="E5484" t="s">
        <v>4</v>
      </c>
      <c r="F5484">
        <v>27.77</v>
      </c>
      <c r="H5484" t="s">
        <v>5</v>
      </c>
      <c r="I5484" s="1">
        <v>89.69</v>
      </c>
      <c r="J5484" s="1">
        <v>88.77</v>
      </c>
      <c r="K5484" t="s">
        <v>6</v>
      </c>
    </row>
    <row r="5485" spans="1:11">
      <c r="A5485" t="s">
        <v>5486</v>
      </c>
      <c r="B5485">
        <v>566302</v>
      </c>
      <c r="C5485" s="2" t="str">
        <f>"5340987"</f>
        <v>5340987</v>
      </c>
      <c r="D5485" t="s">
        <v>5598</v>
      </c>
      <c r="E5485" t="s">
        <v>4</v>
      </c>
      <c r="F5485">
        <v>27.12</v>
      </c>
      <c r="H5485" t="s">
        <v>5</v>
      </c>
      <c r="I5485" s="1">
        <v>65.48</v>
      </c>
      <c r="J5485" s="1">
        <v>64.819999999999993</v>
      </c>
      <c r="K5485" t="s">
        <v>6</v>
      </c>
    </row>
    <row r="5486" spans="1:11">
      <c r="A5486" t="s">
        <v>5486</v>
      </c>
      <c r="B5486">
        <v>566304</v>
      </c>
      <c r="C5486" s="2" t="str">
        <f>"5341031"</f>
        <v>5341031</v>
      </c>
      <c r="D5486" t="s">
        <v>5599</v>
      </c>
      <c r="E5486" t="s">
        <v>4</v>
      </c>
      <c r="F5486">
        <v>28.87</v>
      </c>
      <c r="H5486" t="s">
        <v>5</v>
      </c>
      <c r="I5486" s="1">
        <v>126.2</v>
      </c>
      <c r="J5486" s="1">
        <v>124.91</v>
      </c>
      <c r="K5486" t="s">
        <v>6</v>
      </c>
    </row>
    <row r="5487" spans="1:11">
      <c r="A5487" t="s">
        <v>5486</v>
      </c>
      <c r="B5487">
        <v>566298</v>
      </c>
      <c r="C5487" s="2" t="str">
        <f>"5341373"</f>
        <v>5341373</v>
      </c>
      <c r="D5487" t="s">
        <v>5600</v>
      </c>
      <c r="E5487" t="s">
        <v>4</v>
      </c>
      <c r="F5487">
        <v>29.73</v>
      </c>
      <c r="H5487" t="s">
        <v>5</v>
      </c>
      <c r="I5487" s="1">
        <v>41.76</v>
      </c>
      <c r="J5487" s="1">
        <v>41.34</v>
      </c>
      <c r="K5487" t="s">
        <v>6</v>
      </c>
    </row>
    <row r="5488" spans="1:11">
      <c r="A5488" t="s">
        <v>5486</v>
      </c>
      <c r="B5488">
        <v>566295</v>
      </c>
      <c r="C5488" s="2" t="str">
        <f>"5374415"</f>
        <v>5374415</v>
      </c>
      <c r="D5488" t="s">
        <v>5601</v>
      </c>
      <c r="E5488" t="s">
        <v>4</v>
      </c>
      <c r="F5488">
        <v>13.68</v>
      </c>
      <c r="H5488" t="s">
        <v>5</v>
      </c>
      <c r="I5488" s="1">
        <v>65.59</v>
      </c>
      <c r="J5488" s="1">
        <v>64.92</v>
      </c>
      <c r="K5488" t="s">
        <v>6</v>
      </c>
    </row>
    <row r="5489" spans="1:12">
      <c r="A5489" t="s">
        <v>5486</v>
      </c>
      <c r="B5489">
        <v>566306</v>
      </c>
      <c r="C5489" s="2" t="str">
        <f>"5374511"</f>
        <v>5374511</v>
      </c>
      <c r="D5489" t="s">
        <v>5602</v>
      </c>
      <c r="E5489" t="s">
        <v>4</v>
      </c>
      <c r="F5489">
        <v>14.78</v>
      </c>
      <c r="H5489" t="s">
        <v>5</v>
      </c>
      <c r="I5489" s="1">
        <v>61.64</v>
      </c>
      <c r="J5489" s="1">
        <v>61.01</v>
      </c>
      <c r="K5489" t="s">
        <v>6</v>
      </c>
    </row>
    <row r="5490" spans="1:12">
      <c r="A5490" t="s">
        <v>5486</v>
      </c>
      <c r="B5490">
        <v>566303</v>
      </c>
      <c r="C5490" s="2" t="str">
        <f>"5374546"</f>
        <v>5374546</v>
      </c>
      <c r="D5490" t="s">
        <v>5603</v>
      </c>
      <c r="E5490" t="s">
        <v>4</v>
      </c>
      <c r="F5490">
        <v>14.4</v>
      </c>
      <c r="H5490" t="s">
        <v>5</v>
      </c>
      <c r="I5490" s="1">
        <v>59.47</v>
      </c>
      <c r="J5490" s="1">
        <v>58.86</v>
      </c>
      <c r="K5490" t="s">
        <v>6</v>
      </c>
    </row>
    <row r="5491" spans="1:12">
      <c r="A5491" t="s">
        <v>5486</v>
      </c>
      <c r="B5491">
        <v>566299</v>
      </c>
      <c r="C5491" s="2" t="str">
        <f>"5497407"</f>
        <v>5497407</v>
      </c>
      <c r="D5491" t="s">
        <v>5604</v>
      </c>
      <c r="E5491" t="s">
        <v>4</v>
      </c>
      <c r="F5491">
        <v>13.78</v>
      </c>
      <c r="H5491" t="s">
        <v>5</v>
      </c>
      <c r="I5491" s="1">
        <v>41.28</v>
      </c>
      <c r="J5491" s="1">
        <v>40.86</v>
      </c>
      <c r="K5491" t="s">
        <v>6</v>
      </c>
    </row>
    <row r="5492" spans="1:12">
      <c r="A5492" t="s">
        <v>5486</v>
      </c>
      <c r="B5492">
        <v>568015</v>
      </c>
      <c r="C5492" s="2" t="str">
        <f>"5512283"</f>
        <v>5512283</v>
      </c>
      <c r="D5492" t="s">
        <v>5605</v>
      </c>
      <c r="E5492" t="s">
        <v>4</v>
      </c>
      <c r="F5492">
        <v>37.69</v>
      </c>
      <c r="H5492" t="s">
        <v>5</v>
      </c>
      <c r="I5492" s="1">
        <v>50.71</v>
      </c>
      <c r="J5492" s="1">
        <v>50.19</v>
      </c>
      <c r="K5492" t="s">
        <v>6</v>
      </c>
    </row>
    <row r="5493" spans="1:12">
      <c r="A5493" t="s">
        <v>5486</v>
      </c>
      <c r="B5493">
        <v>568016</v>
      </c>
      <c r="C5493" s="2" t="str">
        <f>"5512363"</f>
        <v>5512363</v>
      </c>
      <c r="D5493" t="s">
        <v>5606</v>
      </c>
      <c r="E5493" t="s">
        <v>4</v>
      </c>
      <c r="F5493">
        <v>14.6</v>
      </c>
      <c r="H5493" t="s">
        <v>5</v>
      </c>
      <c r="I5493" s="1">
        <v>40.770000000000003</v>
      </c>
      <c r="J5493" s="1">
        <v>40.35</v>
      </c>
      <c r="K5493" t="s">
        <v>6</v>
      </c>
    </row>
    <row r="5494" spans="1:12">
      <c r="A5494" t="s">
        <v>5486</v>
      </c>
      <c r="B5494">
        <v>566294</v>
      </c>
      <c r="C5494" s="2" t="str">
        <f>"5512443"</f>
        <v>5512443</v>
      </c>
      <c r="D5494" t="s">
        <v>5607</v>
      </c>
      <c r="E5494" t="s">
        <v>4</v>
      </c>
      <c r="F5494">
        <v>39</v>
      </c>
      <c r="H5494" t="s">
        <v>5</v>
      </c>
      <c r="I5494" s="1">
        <v>121.03</v>
      </c>
      <c r="J5494" s="1">
        <v>119.8</v>
      </c>
      <c r="K5494" t="s">
        <v>6</v>
      </c>
    </row>
    <row r="5495" spans="1:12">
      <c r="A5495" t="s">
        <v>5608</v>
      </c>
      <c r="B5495">
        <v>476451</v>
      </c>
      <c r="C5495" s="2" t="str">
        <f>"ABNP-100"</f>
        <v>ABNP-100</v>
      </c>
      <c r="D5495" t="s">
        <v>5609</v>
      </c>
      <c r="E5495" t="s">
        <v>4</v>
      </c>
      <c r="F5495">
        <v>40</v>
      </c>
      <c r="H5495" t="s">
        <v>5</v>
      </c>
      <c r="I5495" s="1">
        <v>93.18</v>
      </c>
      <c r="J5495" s="1">
        <v>92.33</v>
      </c>
      <c r="K5495" t="s">
        <v>6</v>
      </c>
    </row>
    <row r="5496" spans="1:12">
      <c r="A5496" t="s">
        <v>5608</v>
      </c>
      <c r="B5496">
        <v>476452</v>
      </c>
      <c r="C5496" s="2" t="str">
        <f>"ABNP-50"</f>
        <v>ABNP-50</v>
      </c>
      <c r="D5496" t="s">
        <v>5609</v>
      </c>
      <c r="E5496" t="s">
        <v>4</v>
      </c>
      <c r="F5496">
        <v>26</v>
      </c>
      <c r="H5496" t="s">
        <v>5</v>
      </c>
      <c r="I5496" s="1">
        <v>58.32</v>
      </c>
      <c r="J5496" s="1">
        <v>57.79</v>
      </c>
      <c r="K5496" t="s">
        <v>6</v>
      </c>
    </row>
    <row r="5497" spans="1:12">
      <c r="A5497" t="s">
        <v>5608</v>
      </c>
      <c r="B5497">
        <v>476301</v>
      </c>
      <c r="C5497" s="2" t="str">
        <f>"ABO-3X3"</f>
        <v>ABO-3X3</v>
      </c>
      <c r="D5497" t="s">
        <v>5610</v>
      </c>
      <c r="E5497" t="s">
        <v>4</v>
      </c>
      <c r="F5497">
        <v>6.5</v>
      </c>
      <c r="G5497">
        <v>3.25</v>
      </c>
      <c r="H5497" t="s">
        <v>175</v>
      </c>
      <c r="I5497" s="1">
        <v>24.51</v>
      </c>
      <c r="J5497" s="1">
        <v>24.29</v>
      </c>
      <c r="K5497" t="s">
        <v>21</v>
      </c>
      <c r="L5497" s="1">
        <v>26.72</v>
      </c>
    </row>
    <row r="5498" spans="1:12">
      <c r="A5498" t="s">
        <v>5608</v>
      </c>
      <c r="B5498">
        <v>552584</v>
      </c>
      <c r="C5498" s="2" t="str">
        <f>"ABP-1218"</f>
        <v>ABP-1218</v>
      </c>
      <c r="D5498" t="s">
        <v>5611</v>
      </c>
      <c r="E5498" t="s">
        <v>4</v>
      </c>
      <c r="F5498">
        <v>17.28</v>
      </c>
      <c r="G5498">
        <v>1.44</v>
      </c>
      <c r="H5498" t="s">
        <v>106</v>
      </c>
      <c r="I5498" s="1">
        <v>9.7100000000000009</v>
      </c>
      <c r="J5498" s="1">
        <v>9.6199999999999992</v>
      </c>
      <c r="K5498" t="s">
        <v>21</v>
      </c>
      <c r="L5498" s="1">
        <v>10.58</v>
      </c>
    </row>
    <row r="5499" spans="1:12">
      <c r="A5499" t="s">
        <v>5608</v>
      </c>
      <c r="B5499">
        <v>482269</v>
      </c>
      <c r="C5499" s="2" t="str">
        <f>"ACO-16"</f>
        <v>ACO-16</v>
      </c>
      <c r="D5499" t="s">
        <v>5612</v>
      </c>
      <c r="E5499" t="s">
        <v>4</v>
      </c>
      <c r="F5499">
        <v>14</v>
      </c>
      <c r="G5499">
        <v>3.5</v>
      </c>
      <c r="H5499" t="s">
        <v>153</v>
      </c>
      <c r="I5499" s="1">
        <v>21.13</v>
      </c>
      <c r="J5499" s="1">
        <v>20.93</v>
      </c>
      <c r="K5499" t="s">
        <v>21</v>
      </c>
      <c r="L5499" s="1">
        <v>23.03</v>
      </c>
    </row>
    <row r="5500" spans="1:12">
      <c r="A5500" t="s">
        <v>5608</v>
      </c>
      <c r="B5500">
        <v>476308</v>
      </c>
      <c r="C5500" s="2" t="str">
        <f>"AD-12"</f>
        <v>AD-12</v>
      </c>
      <c r="D5500" t="s">
        <v>5613</v>
      </c>
      <c r="E5500" t="s">
        <v>4</v>
      </c>
      <c r="F5500">
        <v>5.28</v>
      </c>
      <c r="G5500">
        <v>0.44</v>
      </c>
      <c r="H5500" t="s">
        <v>106</v>
      </c>
      <c r="I5500" s="1">
        <v>3.06</v>
      </c>
      <c r="J5500" s="1">
        <v>3.03</v>
      </c>
      <c r="K5500" t="s">
        <v>21</v>
      </c>
      <c r="L5500" s="1">
        <v>3.34</v>
      </c>
    </row>
    <row r="5501" spans="1:12">
      <c r="A5501" t="s">
        <v>5608</v>
      </c>
      <c r="B5501">
        <v>476309</v>
      </c>
      <c r="C5501" s="2" t="str">
        <f>"AD-16"</f>
        <v>AD-16</v>
      </c>
      <c r="D5501" t="s">
        <v>5614</v>
      </c>
      <c r="E5501" t="s">
        <v>4</v>
      </c>
      <c r="F5501">
        <v>5.28</v>
      </c>
      <c r="G5501">
        <v>0.44</v>
      </c>
      <c r="H5501" t="s">
        <v>106</v>
      </c>
      <c r="I5501" s="1">
        <v>3.06</v>
      </c>
      <c r="J5501" s="1">
        <v>3.03</v>
      </c>
      <c r="K5501" t="s">
        <v>21</v>
      </c>
      <c r="L5501" s="1">
        <v>3.34</v>
      </c>
    </row>
    <row r="5502" spans="1:12">
      <c r="A5502" t="s">
        <v>5608</v>
      </c>
      <c r="B5502">
        <v>476310</v>
      </c>
      <c r="C5502" s="2" t="str">
        <f>"AD-20"</f>
        <v>AD-20</v>
      </c>
      <c r="D5502" t="s">
        <v>5615</v>
      </c>
      <c r="E5502" t="s">
        <v>4</v>
      </c>
      <c r="F5502">
        <v>5.28</v>
      </c>
      <c r="G5502">
        <v>0.44</v>
      </c>
      <c r="H5502" t="s">
        <v>106</v>
      </c>
      <c r="I5502" s="1">
        <v>3.06</v>
      </c>
      <c r="J5502" s="1">
        <v>3.03</v>
      </c>
      <c r="K5502" t="s">
        <v>21</v>
      </c>
      <c r="L5502" s="1">
        <v>3.34</v>
      </c>
    </row>
    <row r="5503" spans="1:12">
      <c r="A5503" t="s">
        <v>5608</v>
      </c>
      <c r="B5503">
        <v>552610</v>
      </c>
      <c r="C5503" s="2" t="str">
        <f>"AFP-08"</f>
        <v>AFP-08</v>
      </c>
      <c r="D5503" t="s">
        <v>5616</v>
      </c>
      <c r="E5503" t="s">
        <v>4</v>
      </c>
      <c r="F5503">
        <v>9</v>
      </c>
      <c r="G5503">
        <v>1.5</v>
      </c>
      <c r="H5503" t="s">
        <v>20</v>
      </c>
      <c r="I5503" s="1">
        <v>6.92</v>
      </c>
      <c r="J5503" s="1">
        <v>6.85</v>
      </c>
      <c r="K5503" t="s">
        <v>21</v>
      </c>
      <c r="L5503" s="1">
        <v>7.54</v>
      </c>
    </row>
    <row r="5504" spans="1:12">
      <c r="A5504" t="s">
        <v>5608</v>
      </c>
      <c r="B5504">
        <v>552869</v>
      </c>
      <c r="C5504" s="2" t="str">
        <f>"AFP-10"</f>
        <v>AFP-10</v>
      </c>
      <c r="D5504" t="s">
        <v>5617</v>
      </c>
      <c r="E5504" t="s">
        <v>4</v>
      </c>
      <c r="F5504">
        <v>13.02</v>
      </c>
      <c r="G5504">
        <v>2.17</v>
      </c>
      <c r="H5504" t="s">
        <v>20</v>
      </c>
      <c r="I5504" s="1">
        <v>9.83</v>
      </c>
      <c r="J5504" s="1">
        <v>9.74</v>
      </c>
      <c r="K5504" t="s">
        <v>21</v>
      </c>
      <c r="L5504" s="1">
        <v>10.72</v>
      </c>
    </row>
    <row r="5505" spans="1:12">
      <c r="A5505" t="s">
        <v>5608</v>
      </c>
      <c r="B5505">
        <v>487716</v>
      </c>
      <c r="C5505" s="2" t="str">
        <f>"AFP-12"</f>
        <v>AFP-12</v>
      </c>
      <c r="D5505" t="s">
        <v>5618</v>
      </c>
      <c r="E5505" t="s">
        <v>4</v>
      </c>
      <c r="F5505">
        <v>18</v>
      </c>
      <c r="G5505">
        <v>3</v>
      </c>
      <c r="H5505" t="s">
        <v>20</v>
      </c>
      <c r="I5505" s="1">
        <v>14.01</v>
      </c>
      <c r="J5505" s="1">
        <v>13.89</v>
      </c>
      <c r="K5505" t="s">
        <v>21</v>
      </c>
      <c r="L5505" s="1">
        <v>15.27</v>
      </c>
    </row>
    <row r="5506" spans="1:12">
      <c r="A5506" t="s">
        <v>5608</v>
      </c>
      <c r="B5506">
        <v>476312</v>
      </c>
      <c r="C5506" s="2" t="str">
        <f>"AIS-100"</f>
        <v>AIS-100</v>
      </c>
      <c r="D5506" t="s">
        <v>5619</v>
      </c>
      <c r="E5506" t="s">
        <v>4</v>
      </c>
      <c r="F5506">
        <v>53.04</v>
      </c>
      <c r="G5506">
        <v>2.21</v>
      </c>
      <c r="H5506" t="s">
        <v>666</v>
      </c>
      <c r="I5506" s="1">
        <v>26.48</v>
      </c>
      <c r="J5506" s="1">
        <v>26.24</v>
      </c>
      <c r="K5506" t="s">
        <v>21</v>
      </c>
      <c r="L5506" s="1">
        <v>28.86</v>
      </c>
    </row>
    <row r="5507" spans="1:12">
      <c r="A5507" t="s">
        <v>5608</v>
      </c>
      <c r="B5507">
        <v>476313</v>
      </c>
      <c r="C5507" s="2" t="str">
        <f>"AIS-190"</f>
        <v>AIS-190</v>
      </c>
      <c r="D5507" t="s">
        <v>5619</v>
      </c>
      <c r="E5507" t="s">
        <v>4</v>
      </c>
      <c r="F5507">
        <v>39.6</v>
      </c>
      <c r="G5507">
        <v>3.3</v>
      </c>
      <c r="H5507" t="s">
        <v>106</v>
      </c>
      <c r="I5507" s="1">
        <v>40.369999999999997</v>
      </c>
      <c r="J5507" s="1">
        <v>40</v>
      </c>
      <c r="K5507" t="s">
        <v>21</v>
      </c>
      <c r="L5507" s="1">
        <v>44</v>
      </c>
    </row>
    <row r="5508" spans="1:12">
      <c r="A5508" t="s">
        <v>5608</v>
      </c>
      <c r="B5508">
        <v>494034</v>
      </c>
      <c r="C5508" s="2" t="str">
        <f>"AP-27D"</f>
        <v>AP-27D</v>
      </c>
      <c r="D5508" t="s">
        <v>5620</v>
      </c>
      <c r="E5508" t="s">
        <v>4</v>
      </c>
      <c r="F5508">
        <v>22</v>
      </c>
      <c r="G5508">
        <v>2.2000000000000002</v>
      </c>
      <c r="H5508" t="s">
        <v>108</v>
      </c>
      <c r="I5508" s="1">
        <v>9.99</v>
      </c>
      <c r="J5508" s="1">
        <v>9.9</v>
      </c>
      <c r="K5508" t="s">
        <v>21</v>
      </c>
      <c r="L5508" s="1">
        <v>10.89</v>
      </c>
    </row>
    <row r="5509" spans="1:12">
      <c r="A5509" t="s">
        <v>5608</v>
      </c>
      <c r="B5509">
        <v>477338</v>
      </c>
      <c r="C5509" s="2" t="str">
        <f>"APB-1424FD"</f>
        <v>APB-1424FD</v>
      </c>
      <c r="D5509" t="s">
        <v>5621</v>
      </c>
      <c r="E5509" t="s">
        <v>4</v>
      </c>
      <c r="F5509">
        <v>40</v>
      </c>
      <c r="H5509" t="s">
        <v>5</v>
      </c>
      <c r="I5509" s="1">
        <v>191.13</v>
      </c>
      <c r="J5509" s="1">
        <v>189.37</v>
      </c>
      <c r="K5509" t="s">
        <v>6</v>
      </c>
    </row>
    <row r="5510" spans="1:12">
      <c r="A5510" t="s">
        <v>5608</v>
      </c>
      <c r="B5510">
        <v>482271</v>
      </c>
      <c r="C5510" s="2" t="str">
        <f>"APB-2112FD"</f>
        <v>APB-2112FD</v>
      </c>
      <c r="D5510" t="s">
        <v>5622</v>
      </c>
      <c r="E5510" t="s">
        <v>4</v>
      </c>
      <c r="F5510">
        <v>20</v>
      </c>
      <c r="H5510" t="s">
        <v>5</v>
      </c>
      <c r="I5510" s="1">
        <v>94.63</v>
      </c>
      <c r="J5510" s="1">
        <v>93.76</v>
      </c>
      <c r="K5510" t="s">
        <v>6</v>
      </c>
    </row>
    <row r="5511" spans="1:12">
      <c r="A5511" t="s">
        <v>5608</v>
      </c>
      <c r="B5511">
        <v>477339</v>
      </c>
      <c r="C5511" s="2" t="str">
        <f>"APB-2117"</f>
        <v>APB-2117</v>
      </c>
      <c r="D5511" t="s">
        <v>5623</v>
      </c>
      <c r="E5511" t="s">
        <v>4</v>
      </c>
      <c r="F5511">
        <v>28</v>
      </c>
      <c r="H5511" t="s">
        <v>5</v>
      </c>
      <c r="I5511" s="1">
        <v>137.13999999999999</v>
      </c>
      <c r="J5511" s="1">
        <v>135.88</v>
      </c>
      <c r="K5511" t="s">
        <v>6</v>
      </c>
    </row>
    <row r="5512" spans="1:12">
      <c r="A5512" t="s">
        <v>5608</v>
      </c>
      <c r="B5512">
        <v>476314</v>
      </c>
      <c r="C5512" s="2" t="str">
        <f>"APM-06"</f>
        <v>APM-06</v>
      </c>
      <c r="D5512" t="s">
        <v>5624</v>
      </c>
      <c r="E5512" t="s">
        <v>4</v>
      </c>
      <c r="F5512">
        <v>3.48</v>
      </c>
      <c r="G5512">
        <v>0.28999999999999998</v>
      </c>
      <c r="H5512" t="s">
        <v>106</v>
      </c>
      <c r="I5512" s="1">
        <v>2.35</v>
      </c>
      <c r="J5512" s="1">
        <v>2.33</v>
      </c>
      <c r="K5512" t="s">
        <v>21</v>
      </c>
      <c r="L5512" s="1">
        <v>2.56</v>
      </c>
    </row>
    <row r="5513" spans="1:12">
      <c r="A5513" t="s">
        <v>5608</v>
      </c>
      <c r="B5513">
        <v>476315</v>
      </c>
      <c r="C5513" s="2" t="str">
        <f>"APM-07"</f>
        <v>APM-07</v>
      </c>
      <c r="D5513" t="s">
        <v>5625</v>
      </c>
      <c r="E5513" t="s">
        <v>4</v>
      </c>
      <c r="F5513">
        <v>3.96</v>
      </c>
      <c r="G5513">
        <v>0.33</v>
      </c>
      <c r="H5513" t="s">
        <v>106</v>
      </c>
      <c r="I5513" s="1">
        <v>2.48</v>
      </c>
      <c r="J5513" s="1">
        <v>2.46</v>
      </c>
      <c r="K5513" t="s">
        <v>21</v>
      </c>
      <c r="L5513" s="1">
        <v>2.7</v>
      </c>
    </row>
    <row r="5514" spans="1:12">
      <c r="A5514" t="s">
        <v>5608</v>
      </c>
      <c r="B5514">
        <v>476316</v>
      </c>
      <c r="C5514" s="2" t="str">
        <f>"APM-08"</f>
        <v>APM-08</v>
      </c>
      <c r="D5514" t="s">
        <v>5626</v>
      </c>
      <c r="E5514" t="s">
        <v>4</v>
      </c>
      <c r="F5514">
        <v>4.08</v>
      </c>
      <c r="G5514">
        <v>0.34</v>
      </c>
      <c r="H5514" t="s">
        <v>106</v>
      </c>
      <c r="I5514" s="1">
        <v>2.56</v>
      </c>
      <c r="J5514" s="1">
        <v>2.54</v>
      </c>
      <c r="K5514" t="s">
        <v>21</v>
      </c>
      <c r="L5514" s="1">
        <v>2.8</v>
      </c>
    </row>
    <row r="5515" spans="1:12">
      <c r="A5515" t="s">
        <v>5608</v>
      </c>
      <c r="B5515">
        <v>476317</v>
      </c>
      <c r="C5515" s="2" t="str">
        <f>"APM-10"</f>
        <v>APM-10</v>
      </c>
      <c r="D5515" t="s">
        <v>5627</v>
      </c>
      <c r="E5515" t="s">
        <v>4</v>
      </c>
      <c r="F5515">
        <v>4.2</v>
      </c>
      <c r="G5515">
        <v>0.35</v>
      </c>
      <c r="H5515" t="s">
        <v>106</v>
      </c>
      <c r="I5515" s="1">
        <v>2.93</v>
      </c>
      <c r="J5515" s="1">
        <v>2.91</v>
      </c>
      <c r="K5515" t="s">
        <v>21</v>
      </c>
      <c r="L5515" s="1">
        <v>3.2</v>
      </c>
    </row>
    <row r="5516" spans="1:12">
      <c r="A5516" t="s">
        <v>5608</v>
      </c>
      <c r="B5516">
        <v>476318</v>
      </c>
      <c r="C5516" s="2" t="str">
        <f>"APM-12"</f>
        <v>APM-12</v>
      </c>
      <c r="D5516" t="s">
        <v>5628</v>
      </c>
      <c r="E5516" t="s">
        <v>4</v>
      </c>
      <c r="F5516">
        <v>4.5599999999999996</v>
      </c>
      <c r="G5516">
        <v>0.38</v>
      </c>
      <c r="H5516" t="s">
        <v>106</v>
      </c>
      <c r="I5516" s="1">
        <v>3.26</v>
      </c>
      <c r="J5516" s="1">
        <v>3.23</v>
      </c>
      <c r="K5516" t="s">
        <v>21</v>
      </c>
      <c r="L5516" s="1">
        <v>3.55</v>
      </c>
    </row>
    <row r="5517" spans="1:12">
      <c r="A5517" t="s">
        <v>5608</v>
      </c>
      <c r="B5517">
        <v>497116</v>
      </c>
      <c r="C5517" s="2" t="str">
        <f>"APRK-3"</f>
        <v>APRK-3</v>
      </c>
      <c r="D5517" t="s">
        <v>5629</v>
      </c>
      <c r="E5517" t="s">
        <v>4</v>
      </c>
      <c r="F5517">
        <v>6.3</v>
      </c>
      <c r="H5517" t="s">
        <v>5</v>
      </c>
      <c r="I5517" s="1">
        <v>27.14</v>
      </c>
      <c r="J5517" s="1">
        <v>26.89</v>
      </c>
      <c r="K5517" t="s">
        <v>6</v>
      </c>
    </row>
    <row r="5518" spans="1:12">
      <c r="A5518" t="s">
        <v>5608</v>
      </c>
      <c r="B5518">
        <v>555773</v>
      </c>
      <c r="C5518" s="2" t="str">
        <f>"APV-2641HD"</f>
        <v>APV-2641HD</v>
      </c>
      <c r="D5518" t="s">
        <v>5630</v>
      </c>
      <c r="E5518" t="s">
        <v>4</v>
      </c>
      <c r="F5518">
        <v>10.08</v>
      </c>
      <c r="G5518">
        <v>0.84</v>
      </c>
      <c r="H5518" t="s">
        <v>106</v>
      </c>
      <c r="I5518" s="1">
        <v>5.38</v>
      </c>
      <c r="J5518" s="1">
        <v>5.34</v>
      </c>
      <c r="K5518" t="s">
        <v>21</v>
      </c>
      <c r="L5518" s="1">
        <v>5.87</v>
      </c>
    </row>
    <row r="5519" spans="1:12">
      <c r="A5519" t="s">
        <v>5608</v>
      </c>
      <c r="B5519">
        <v>552146</v>
      </c>
      <c r="C5519" s="2" t="str">
        <f>"BC-2415SS"</f>
        <v>BC-2415SS</v>
      </c>
      <c r="D5519" t="s">
        <v>5631</v>
      </c>
      <c r="E5519" t="s">
        <v>4</v>
      </c>
      <c r="F5519">
        <v>29</v>
      </c>
      <c r="H5519" t="s">
        <v>5</v>
      </c>
      <c r="I5519" s="1">
        <v>118.57</v>
      </c>
      <c r="J5519" s="1">
        <v>117.49</v>
      </c>
      <c r="K5519" t="s">
        <v>6</v>
      </c>
    </row>
    <row r="5520" spans="1:12">
      <c r="A5520" t="s">
        <v>5608</v>
      </c>
      <c r="B5520">
        <v>552870</v>
      </c>
      <c r="C5520" s="2" t="str">
        <f>"BC-3"</f>
        <v>BC-3</v>
      </c>
      <c r="D5520" t="s">
        <v>5632</v>
      </c>
      <c r="E5520" t="s">
        <v>4</v>
      </c>
      <c r="F5520">
        <v>1.56</v>
      </c>
      <c r="G5520">
        <v>0.13</v>
      </c>
      <c r="H5520" t="s">
        <v>106</v>
      </c>
      <c r="I5520" s="1">
        <v>1.02</v>
      </c>
      <c r="J5520" s="1">
        <v>1.01</v>
      </c>
      <c r="K5520" t="s">
        <v>21</v>
      </c>
      <c r="L5520" s="1">
        <v>1.1100000000000001</v>
      </c>
    </row>
    <row r="5521" spans="1:12">
      <c r="A5521" t="s">
        <v>5608</v>
      </c>
      <c r="B5521">
        <v>558447</v>
      </c>
      <c r="C5521" s="2" t="str">
        <f>"BC-3520GZ"</f>
        <v>BC-3520GZ</v>
      </c>
      <c r="D5521" t="s">
        <v>5633</v>
      </c>
      <c r="E5521" t="s">
        <v>4</v>
      </c>
      <c r="F5521">
        <v>37</v>
      </c>
      <c r="H5521" t="s">
        <v>5</v>
      </c>
      <c r="I5521" s="1">
        <v>85.56</v>
      </c>
      <c r="J5521" s="1">
        <v>84.77</v>
      </c>
      <c r="K5521" t="s">
        <v>6</v>
      </c>
    </row>
    <row r="5522" spans="1:12">
      <c r="A5522" t="s">
        <v>5608</v>
      </c>
      <c r="B5522">
        <v>552872</v>
      </c>
      <c r="C5522" s="2" t="str">
        <f>"BC-5"</f>
        <v>BC-5</v>
      </c>
      <c r="D5522" t="s">
        <v>5634</v>
      </c>
      <c r="E5522" t="s">
        <v>4</v>
      </c>
      <c r="F5522">
        <v>2.2799999999999998</v>
      </c>
      <c r="G5522">
        <v>0.19</v>
      </c>
      <c r="H5522" t="s">
        <v>106</v>
      </c>
      <c r="I5522" s="1">
        <v>1.2</v>
      </c>
      <c r="J5522" s="1">
        <v>1.19</v>
      </c>
      <c r="K5522" t="s">
        <v>21</v>
      </c>
      <c r="L5522" s="1">
        <v>1.31</v>
      </c>
    </row>
    <row r="5523" spans="1:12">
      <c r="A5523" t="s">
        <v>5608</v>
      </c>
      <c r="B5523">
        <v>482286</v>
      </c>
      <c r="C5523" s="2" t="str">
        <f>"BM-125"</f>
        <v>BM-125</v>
      </c>
      <c r="D5523" t="s">
        <v>5635</v>
      </c>
      <c r="E5523" t="s">
        <v>4</v>
      </c>
      <c r="F5523">
        <v>4.2</v>
      </c>
      <c r="G5523">
        <v>0.7</v>
      </c>
      <c r="H5523" t="s">
        <v>20</v>
      </c>
      <c r="I5523" s="1">
        <v>2.72</v>
      </c>
      <c r="J5523" s="1">
        <v>2.7</v>
      </c>
      <c r="K5523" t="s">
        <v>21</v>
      </c>
      <c r="L5523" s="1">
        <v>2.97</v>
      </c>
    </row>
    <row r="5524" spans="1:12">
      <c r="A5524" t="s">
        <v>5608</v>
      </c>
      <c r="B5524">
        <v>482287</v>
      </c>
      <c r="C5524" s="2" t="str">
        <f>"BM-350"</f>
        <v>BM-350</v>
      </c>
      <c r="D5524" t="s">
        <v>5636</v>
      </c>
      <c r="E5524" t="s">
        <v>4</v>
      </c>
      <c r="F5524">
        <v>7.5</v>
      </c>
      <c r="G5524">
        <v>1.25</v>
      </c>
      <c r="H5524" t="s">
        <v>20</v>
      </c>
      <c r="I5524" s="1">
        <v>5.0999999999999996</v>
      </c>
      <c r="J5524" s="1">
        <v>5.05</v>
      </c>
      <c r="K5524" t="s">
        <v>21</v>
      </c>
      <c r="L5524" s="1">
        <v>5.56</v>
      </c>
    </row>
    <row r="5525" spans="1:12">
      <c r="A5525" t="s">
        <v>5608</v>
      </c>
      <c r="B5525">
        <v>482288</v>
      </c>
      <c r="C5525" s="2" t="str">
        <f>"BMC-125"</f>
        <v>BMC-125</v>
      </c>
      <c r="D5525" t="s">
        <v>5637</v>
      </c>
      <c r="E5525" t="s">
        <v>4</v>
      </c>
      <c r="F5525">
        <v>2.52</v>
      </c>
      <c r="G5525">
        <v>0.21</v>
      </c>
      <c r="H5525" t="s">
        <v>106</v>
      </c>
      <c r="I5525" s="1">
        <v>0.88</v>
      </c>
      <c r="J5525" s="1">
        <v>0.87</v>
      </c>
      <c r="K5525" t="s">
        <v>21</v>
      </c>
      <c r="L5525" s="1">
        <v>0.96</v>
      </c>
    </row>
    <row r="5526" spans="1:12">
      <c r="A5526" t="s">
        <v>5608</v>
      </c>
      <c r="B5526">
        <v>482289</v>
      </c>
      <c r="C5526" s="2" t="str">
        <f>"BMC-350"</f>
        <v>BMC-350</v>
      </c>
      <c r="D5526" t="s">
        <v>5638</v>
      </c>
      <c r="E5526" t="s">
        <v>4</v>
      </c>
      <c r="F5526">
        <v>4.2</v>
      </c>
      <c r="G5526">
        <v>0.35</v>
      </c>
      <c r="H5526" t="s">
        <v>106</v>
      </c>
      <c r="I5526" s="1">
        <v>1.7</v>
      </c>
      <c r="J5526" s="1">
        <v>1.68</v>
      </c>
      <c r="K5526" t="s">
        <v>21</v>
      </c>
      <c r="L5526" s="1">
        <v>1.85</v>
      </c>
    </row>
    <row r="5527" spans="1:12">
      <c r="A5527" t="s">
        <v>5608</v>
      </c>
      <c r="B5527">
        <v>482290</v>
      </c>
      <c r="C5527" s="2" t="str">
        <f>"BO-7F"</f>
        <v>BO-7F</v>
      </c>
      <c r="D5527" t="s">
        <v>5639</v>
      </c>
      <c r="E5527" t="s">
        <v>4</v>
      </c>
      <c r="F5527">
        <v>2.76</v>
      </c>
      <c r="G5527">
        <v>0.23</v>
      </c>
      <c r="H5527" t="s">
        <v>106</v>
      </c>
      <c r="I5527" s="1">
        <v>0.98</v>
      </c>
      <c r="J5527" s="1">
        <v>0.97</v>
      </c>
      <c r="K5527" t="s">
        <v>21</v>
      </c>
      <c r="L5527" s="1">
        <v>1.07</v>
      </c>
    </row>
    <row r="5528" spans="1:12">
      <c r="A5528" t="s">
        <v>5608</v>
      </c>
      <c r="B5528">
        <v>552613</v>
      </c>
      <c r="C5528" s="2" t="str">
        <f>"BP-2G"</f>
        <v>BP-2G</v>
      </c>
      <c r="D5528" t="s">
        <v>5640</v>
      </c>
      <c r="E5528" t="s">
        <v>4</v>
      </c>
      <c r="F5528">
        <v>6.36</v>
      </c>
      <c r="G5528">
        <v>1.06</v>
      </c>
      <c r="H5528" t="s">
        <v>20</v>
      </c>
      <c r="I5528" s="1">
        <v>13.45</v>
      </c>
      <c r="J5528" s="1">
        <v>13.32</v>
      </c>
      <c r="K5528" t="s">
        <v>21</v>
      </c>
      <c r="L5528" s="1">
        <v>14.66</v>
      </c>
    </row>
    <row r="5529" spans="1:12">
      <c r="A5529" t="s">
        <v>5608</v>
      </c>
      <c r="B5529">
        <v>482458</v>
      </c>
      <c r="C5529" s="2" t="str">
        <f>"BS-9"</f>
        <v>BS-9</v>
      </c>
      <c r="D5529" t="s">
        <v>5641</v>
      </c>
      <c r="E5529" t="s">
        <v>4</v>
      </c>
      <c r="F5529">
        <v>2.52</v>
      </c>
      <c r="G5529">
        <v>0.21</v>
      </c>
      <c r="H5529" t="s">
        <v>106</v>
      </c>
      <c r="I5529" s="1">
        <v>1.18</v>
      </c>
      <c r="J5529" s="1">
        <v>1.17</v>
      </c>
      <c r="K5529" t="s">
        <v>21</v>
      </c>
      <c r="L5529" s="1">
        <v>1.28</v>
      </c>
    </row>
    <row r="5530" spans="1:12">
      <c r="A5530" t="s">
        <v>5608</v>
      </c>
      <c r="B5530">
        <v>482291</v>
      </c>
      <c r="C5530" s="2" t="str">
        <f>"BSP-11"</f>
        <v>BSP-11</v>
      </c>
      <c r="D5530" t="s">
        <v>5642</v>
      </c>
      <c r="E5530" t="s">
        <v>4</v>
      </c>
      <c r="F5530">
        <v>0.84</v>
      </c>
      <c r="G5530">
        <v>7.0000000000000007E-2</v>
      </c>
      <c r="H5530" t="s">
        <v>106</v>
      </c>
      <c r="I5530" s="1">
        <v>9.0399999999999991</v>
      </c>
      <c r="J5530" s="1">
        <v>8.9600000000000009</v>
      </c>
      <c r="K5530" t="s">
        <v>1274</v>
      </c>
      <c r="L5530" s="1">
        <v>9.85</v>
      </c>
    </row>
    <row r="5531" spans="1:12">
      <c r="A5531" t="s">
        <v>5608</v>
      </c>
      <c r="B5531">
        <v>482292</v>
      </c>
      <c r="C5531" s="2" t="str">
        <f>"BST-4"</f>
        <v>BST-4</v>
      </c>
      <c r="D5531" t="s">
        <v>5643</v>
      </c>
      <c r="E5531" t="s">
        <v>4</v>
      </c>
      <c r="F5531">
        <v>1.68</v>
      </c>
      <c r="G5531">
        <v>0.14000000000000001</v>
      </c>
      <c r="H5531" t="s">
        <v>106</v>
      </c>
      <c r="I5531" s="1">
        <v>1.06</v>
      </c>
      <c r="J5531" s="1">
        <v>1.05</v>
      </c>
      <c r="K5531" t="s">
        <v>21</v>
      </c>
      <c r="L5531" s="1">
        <v>1.1599999999999999</v>
      </c>
    </row>
    <row r="5532" spans="1:12">
      <c r="A5532" t="s">
        <v>5608</v>
      </c>
      <c r="B5532">
        <v>482293</v>
      </c>
      <c r="C5532" s="2" t="str">
        <f>"CB-1520"</f>
        <v>CB-1520</v>
      </c>
      <c r="D5532" t="s">
        <v>5644</v>
      </c>
      <c r="E5532" t="s">
        <v>4</v>
      </c>
      <c r="F5532">
        <v>31.92</v>
      </c>
      <c r="G5532">
        <v>5.32</v>
      </c>
      <c r="H5532" t="s">
        <v>20</v>
      </c>
      <c r="I5532" s="1">
        <v>9.56</v>
      </c>
      <c r="J5532" s="1">
        <v>9.48</v>
      </c>
      <c r="K5532" t="s">
        <v>21</v>
      </c>
      <c r="L5532" s="1">
        <v>10.42</v>
      </c>
    </row>
    <row r="5533" spans="1:12">
      <c r="A5533" t="s">
        <v>5608</v>
      </c>
      <c r="B5533">
        <v>553873</v>
      </c>
      <c r="C5533" s="2" t="str">
        <f>"CB-610"</f>
        <v>CB-610</v>
      </c>
      <c r="D5533" t="s">
        <v>5645</v>
      </c>
      <c r="E5533" t="s">
        <v>4</v>
      </c>
      <c r="F5533">
        <v>9.4</v>
      </c>
      <c r="G5533">
        <v>0.94</v>
      </c>
      <c r="H5533" t="s">
        <v>108</v>
      </c>
      <c r="I5533" s="1">
        <v>2.0099999999999998</v>
      </c>
      <c r="J5533" s="1">
        <v>1.99</v>
      </c>
      <c r="K5533" t="s">
        <v>21</v>
      </c>
      <c r="L5533" s="1">
        <v>2.19</v>
      </c>
    </row>
    <row r="5534" spans="1:12">
      <c r="A5534" t="s">
        <v>5608</v>
      </c>
      <c r="B5534">
        <v>482294</v>
      </c>
      <c r="C5534" s="2" t="str">
        <f>"CC-FH"</f>
        <v>CC-FH</v>
      </c>
      <c r="D5534" t="s">
        <v>5646</v>
      </c>
      <c r="E5534" t="s">
        <v>4</v>
      </c>
      <c r="F5534">
        <v>4.2</v>
      </c>
      <c r="G5534">
        <v>0.35</v>
      </c>
      <c r="H5534" t="s">
        <v>106</v>
      </c>
      <c r="I5534" s="1">
        <v>2.11</v>
      </c>
      <c r="J5534" s="1">
        <v>2.09</v>
      </c>
      <c r="K5534" t="s">
        <v>21</v>
      </c>
      <c r="L5534" s="1">
        <v>2.2999999999999998</v>
      </c>
    </row>
    <row r="5535" spans="1:12">
      <c r="A5535" t="s">
        <v>5608</v>
      </c>
      <c r="B5535">
        <v>482295</v>
      </c>
      <c r="C5535" s="2" t="str">
        <f>"CD-5"</f>
        <v>CD-5</v>
      </c>
      <c r="D5535" t="s">
        <v>5647</v>
      </c>
      <c r="E5535" t="s">
        <v>4</v>
      </c>
      <c r="F5535">
        <v>32.04</v>
      </c>
      <c r="G5535">
        <v>2.67</v>
      </c>
      <c r="H5535" t="s">
        <v>106</v>
      </c>
      <c r="I5535" s="1">
        <v>11.97</v>
      </c>
      <c r="J5535" s="1">
        <v>11.86</v>
      </c>
      <c r="K5535" t="s">
        <v>21</v>
      </c>
      <c r="L5535" s="1">
        <v>13.05</v>
      </c>
    </row>
    <row r="5536" spans="1:12">
      <c r="A5536" t="s">
        <v>5608</v>
      </c>
      <c r="B5536">
        <v>476319</v>
      </c>
      <c r="C5536" s="2" t="str">
        <f>"CD-8890"</f>
        <v>CD-8890</v>
      </c>
      <c r="D5536" t="s">
        <v>5648</v>
      </c>
      <c r="E5536" t="s">
        <v>4</v>
      </c>
      <c r="F5536">
        <v>5.28</v>
      </c>
      <c r="G5536">
        <v>0.88</v>
      </c>
      <c r="H5536" t="s">
        <v>20</v>
      </c>
      <c r="I5536" s="1">
        <v>9.34</v>
      </c>
      <c r="J5536" s="1">
        <v>9.25</v>
      </c>
      <c r="K5536" t="s">
        <v>21</v>
      </c>
      <c r="L5536" s="1">
        <v>10.18</v>
      </c>
    </row>
    <row r="5537" spans="1:12">
      <c r="A5537" t="s">
        <v>5608</v>
      </c>
      <c r="B5537">
        <v>476320</v>
      </c>
      <c r="C5537" s="2" t="str">
        <f>"CD-8890/OR"</f>
        <v>CD-8890/OR</v>
      </c>
      <c r="D5537" t="s">
        <v>5649</v>
      </c>
      <c r="E5537" t="s">
        <v>4</v>
      </c>
      <c r="F5537">
        <v>5.28</v>
      </c>
      <c r="G5537">
        <v>0.88</v>
      </c>
      <c r="H5537" t="s">
        <v>20</v>
      </c>
      <c r="I5537" s="1">
        <v>9.34</v>
      </c>
      <c r="J5537" s="1">
        <v>9.25</v>
      </c>
      <c r="K5537" t="s">
        <v>21</v>
      </c>
      <c r="L5537" s="1">
        <v>10.18</v>
      </c>
    </row>
    <row r="5538" spans="1:12">
      <c r="A5538" t="s">
        <v>5608</v>
      </c>
      <c r="B5538">
        <v>552930</v>
      </c>
      <c r="C5538" s="2" t="str">
        <f>"CIZPH-15/SET"</f>
        <v>CIZPH-15/SET</v>
      </c>
      <c r="D5538" t="s">
        <v>5650</v>
      </c>
      <c r="E5538" t="s">
        <v>4</v>
      </c>
      <c r="F5538">
        <v>48.36</v>
      </c>
      <c r="G5538">
        <v>4.03</v>
      </c>
      <c r="H5538" t="s">
        <v>106</v>
      </c>
      <c r="I5538" s="1">
        <v>14.16</v>
      </c>
      <c r="J5538" s="1">
        <v>14.03</v>
      </c>
      <c r="K5538" t="s">
        <v>1866</v>
      </c>
      <c r="L5538" s="1">
        <v>15.43</v>
      </c>
    </row>
    <row r="5539" spans="1:12">
      <c r="A5539" t="s">
        <v>5608</v>
      </c>
      <c r="B5539">
        <v>482296</v>
      </c>
      <c r="C5539" s="2" t="str">
        <f>"CO-7G"</f>
        <v>CO-7G</v>
      </c>
      <c r="D5539" t="s">
        <v>5651</v>
      </c>
      <c r="E5539" t="s">
        <v>4</v>
      </c>
      <c r="F5539">
        <v>2.2799999999999998</v>
      </c>
      <c r="G5539">
        <v>0.19</v>
      </c>
      <c r="H5539" t="s">
        <v>106</v>
      </c>
      <c r="I5539" s="1">
        <v>0.98</v>
      </c>
      <c r="J5539" s="1">
        <v>0.97</v>
      </c>
      <c r="K5539" t="s">
        <v>21</v>
      </c>
      <c r="L5539" s="1">
        <v>1.07</v>
      </c>
    </row>
    <row r="5540" spans="1:12">
      <c r="A5540" t="s">
        <v>5608</v>
      </c>
      <c r="B5540">
        <v>552585</v>
      </c>
      <c r="C5540" s="2" t="str">
        <f>"CP-10"</f>
        <v>CP-10</v>
      </c>
      <c r="D5540" t="s">
        <v>5652</v>
      </c>
      <c r="E5540" t="s">
        <v>4</v>
      </c>
      <c r="F5540">
        <v>18</v>
      </c>
      <c r="G5540">
        <v>3</v>
      </c>
      <c r="H5540" t="s">
        <v>20</v>
      </c>
      <c r="I5540" s="1">
        <v>10.17</v>
      </c>
      <c r="J5540" s="1">
        <v>10.08</v>
      </c>
      <c r="K5540" t="s">
        <v>21</v>
      </c>
      <c r="L5540" s="1">
        <v>11.09</v>
      </c>
    </row>
    <row r="5541" spans="1:12">
      <c r="A5541" t="s">
        <v>5608</v>
      </c>
      <c r="B5541">
        <v>484791</v>
      </c>
      <c r="C5541" s="2" t="str">
        <f>"CR-1725"</f>
        <v>CR-1725</v>
      </c>
      <c r="D5541" t="s">
        <v>5653</v>
      </c>
      <c r="E5541" t="s">
        <v>4</v>
      </c>
      <c r="F5541">
        <v>14.28</v>
      </c>
      <c r="G5541">
        <v>2.38</v>
      </c>
      <c r="H5541" t="s">
        <v>20</v>
      </c>
      <c r="I5541" s="1">
        <v>6.16</v>
      </c>
      <c r="J5541" s="1">
        <v>6.11</v>
      </c>
      <c r="K5541" t="s">
        <v>21</v>
      </c>
      <c r="L5541" s="1">
        <v>6.72</v>
      </c>
    </row>
    <row r="5542" spans="1:12">
      <c r="A5542" t="s">
        <v>5608</v>
      </c>
      <c r="B5542">
        <v>482297</v>
      </c>
      <c r="C5542" s="2" t="str">
        <f>"CTS-26"</f>
        <v>CTS-26</v>
      </c>
      <c r="D5542" t="s">
        <v>5654</v>
      </c>
      <c r="E5542" t="s">
        <v>4</v>
      </c>
      <c r="F5542">
        <v>5.28</v>
      </c>
      <c r="G5542">
        <v>0.44</v>
      </c>
      <c r="H5542" t="s">
        <v>106</v>
      </c>
      <c r="I5542" s="1">
        <v>2.2799999999999998</v>
      </c>
      <c r="J5542" s="1">
        <v>2.2599999999999998</v>
      </c>
      <c r="K5542" t="s">
        <v>21</v>
      </c>
      <c r="L5542" s="1">
        <v>2.4900000000000002</v>
      </c>
    </row>
    <row r="5543" spans="1:12">
      <c r="A5543" t="s">
        <v>5608</v>
      </c>
      <c r="B5543">
        <v>476283</v>
      </c>
      <c r="C5543" s="2" t="str">
        <f>"CUB-10C"</f>
        <v>CUB-10C</v>
      </c>
      <c r="D5543" t="s">
        <v>5655</v>
      </c>
      <c r="E5543" t="s">
        <v>4</v>
      </c>
      <c r="F5543">
        <v>6.78</v>
      </c>
      <c r="G5543">
        <v>1.1299999999999999</v>
      </c>
      <c r="H5543" t="s">
        <v>20</v>
      </c>
      <c r="I5543" s="1">
        <v>3.63</v>
      </c>
      <c r="J5543" s="1">
        <v>3.59</v>
      </c>
      <c r="K5543" t="s">
        <v>21</v>
      </c>
      <c r="L5543" s="1">
        <v>3.95</v>
      </c>
    </row>
    <row r="5544" spans="1:12">
      <c r="A5544" t="s">
        <v>5608</v>
      </c>
      <c r="B5544">
        <v>476282</v>
      </c>
      <c r="C5544" s="2" t="str">
        <f>"CUB-10S"</f>
        <v>CUB-10S</v>
      </c>
      <c r="D5544" t="s">
        <v>5656</v>
      </c>
      <c r="E5544" t="s">
        <v>4</v>
      </c>
      <c r="F5544">
        <v>7.8</v>
      </c>
      <c r="G5544">
        <v>1.3</v>
      </c>
      <c r="H5544" t="s">
        <v>20</v>
      </c>
      <c r="I5544" s="1">
        <v>4.6100000000000003</v>
      </c>
      <c r="J5544" s="1">
        <v>4.5599999999999996</v>
      </c>
      <c r="K5544" t="s">
        <v>21</v>
      </c>
      <c r="L5544" s="1">
        <v>5.0199999999999996</v>
      </c>
    </row>
    <row r="5545" spans="1:12">
      <c r="A5545" t="s">
        <v>5608</v>
      </c>
      <c r="B5545">
        <v>537665</v>
      </c>
      <c r="C5545" s="2" t="str">
        <f>"DCS-3P"</f>
        <v>DCS-3P</v>
      </c>
      <c r="D5545" t="s">
        <v>5657</v>
      </c>
      <c r="E5545" t="s">
        <v>4</v>
      </c>
      <c r="F5545">
        <v>0.81</v>
      </c>
      <c r="H5545" t="s">
        <v>5</v>
      </c>
      <c r="I5545" s="1">
        <v>4.3600000000000003</v>
      </c>
      <c r="J5545" s="1">
        <v>4.32</v>
      </c>
      <c r="K5545" t="s">
        <v>6</v>
      </c>
    </row>
    <row r="5546" spans="1:12">
      <c r="A5546" t="s">
        <v>5608</v>
      </c>
      <c r="B5546">
        <v>483091</v>
      </c>
      <c r="C5546" s="2" t="str">
        <f>"DH/CP-49"</f>
        <v>DH/CP-49</v>
      </c>
      <c r="D5546" t="s">
        <v>5658</v>
      </c>
      <c r="E5546" t="s">
        <v>4</v>
      </c>
      <c r="F5546">
        <v>39.6</v>
      </c>
      <c r="G5546">
        <v>1.1000000000000001</v>
      </c>
      <c r="H5546" t="s">
        <v>1397</v>
      </c>
      <c r="I5546" s="1">
        <v>3.83</v>
      </c>
      <c r="J5546" s="1">
        <v>3.79</v>
      </c>
      <c r="K5546" t="s">
        <v>1274</v>
      </c>
      <c r="L5546" s="1">
        <v>4.17</v>
      </c>
    </row>
    <row r="5547" spans="1:12">
      <c r="A5547" t="s">
        <v>5608</v>
      </c>
      <c r="B5547">
        <v>552946</v>
      </c>
      <c r="C5547" s="2" t="str">
        <f>"DNRK-1436"</f>
        <v>DNRK-1436</v>
      </c>
      <c r="D5547" t="s">
        <v>5659</v>
      </c>
      <c r="E5547" t="s">
        <v>4</v>
      </c>
      <c r="F5547">
        <v>32.28</v>
      </c>
      <c r="G5547">
        <v>5.38</v>
      </c>
      <c r="H5547" t="s">
        <v>20</v>
      </c>
      <c r="I5547" s="1">
        <v>37.81</v>
      </c>
      <c r="J5547" s="1">
        <v>37.46</v>
      </c>
      <c r="K5547" t="s">
        <v>21</v>
      </c>
      <c r="L5547" s="1">
        <v>41.2</v>
      </c>
    </row>
    <row r="5548" spans="1:12">
      <c r="A5548" t="s">
        <v>5608</v>
      </c>
      <c r="B5548">
        <v>476321</v>
      </c>
      <c r="C5548" s="2" t="str">
        <f>"DOM/CP-11"</f>
        <v>DOM/CP-11</v>
      </c>
      <c r="D5548" t="s">
        <v>5660</v>
      </c>
      <c r="E5548" t="s">
        <v>4</v>
      </c>
      <c r="F5548">
        <v>9</v>
      </c>
      <c r="G5548">
        <v>0.5</v>
      </c>
      <c r="H5548" t="s">
        <v>4041</v>
      </c>
      <c r="I5548" s="1">
        <v>3.23</v>
      </c>
      <c r="J5548" s="1">
        <v>3.2</v>
      </c>
      <c r="K5548" t="s">
        <v>1274</v>
      </c>
      <c r="L5548" s="1">
        <v>3.52</v>
      </c>
    </row>
    <row r="5549" spans="1:12">
      <c r="A5549" t="s">
        <v>5608</v>
      </c>
      <c r="B5549">
        <v>476323</v>
      </c>
      <c r="C5549" s="2" t="str">
        <f>"DOM/CP-12"</f>
        <v>DOM/CP-12</v>
      </c>
      <c r="D5549" t="s">
        <v>5661</v>
      </c>
      <c r="E5549" t="s">
        <v>4</v>
      </c>
      <c r="F5549">
        <v>10.62</v>
      </c>
      <c r="G5549">
        <v>0.59</v>
      </c>
      <c r="H5549" t="s">
        <v>4041</v>
      </c>
      <c r="I5549" s="1">
        <v>3.8</v>
      </c>
      <c r="J5549" s="1">
        <v>3.76</v>
      </c>
      <c r="K5549" t="s">
        <v>1274</v>
      </c>
      <c r="L5549" s="1">
        <v>4.1399999999999997</v>
      </c>
    </row>
    <row r="5550" spans="1:12">
      <c r="A5550" t="s">
        <v>5608</v>
      </c>
      <c r="B5550">
        <v>476325</v>
      </c>
      <c r="C5550" s="2" t="str">
        <f>"DOM/CP-13"</f>
        <v>DOM/CP-13</v>
      </c>
      <c r="D5550" t="s">
        <v>5662</v>
      </c>
      <c r="E5550" t="s">
        <v>4</v>
      </c>
      <c r="F5550">
        <v>13.14</v>
      </c>
      <c r="G5550">
        <v>0.73</v>
      </c>
      <c r="H5550" t="s">
        <v>4041</v>
      </c>
      <c r="I5550" s="1">
        <v>4.3899999999999997</v>
      </c>
      <c r="J5550" s="1">
        <v>4.3499999999999996</v>
      </c>
      <c r="K5550" t="s">
        <v>1274</v>
      </c>
      <c r="L5550" s="1">
        <v>4.79</v>
      </c>
    </row>
    <row r="5551" spans="1:12">
      <c r="A5551" t="s">
        <v>5608</v>
      </c>
      <c r="B5551">
        <v>476335</v>
      </c>
      <c r="C5551" s="2" t="str">
        <f>"DOM/CP-15"</f>
        <v>DOM/CP-15</v>
      </c>
      <c r="D5551" t="s">
        <v>5663</v>
      </c>
      <c r="E5551" t="s">
        <v>4</v>
      </c>
      <c r="F5551">
        <v>12.42</v>
      </c>
      <c r="G5551">
        <v>0.69</v>
      </c>
      <c r="H5551" t="s">
        <v>4041</v>
      </c>
      <c r="I5551" s="1">
        <v>4.3899999999999997</v>
      </c>
      <c r="J5551" s="1">
        <v>4.3499999999999996</v>
      </c>
      <c r="K5551" t="s">
        <v>1274</v>
      </c>
      <c r="L5551" s="1">
        <v>4.79</v>
      </c>
    </row>
    <row r="5552" spans="1:12">
      <c r="A5552" t="s">
        <v>5608</v>
      </c>
      <c r="B5552">
        <v>476336</v>
      </c>
      <c r="C5552" s="2" t="str">
        <f>"DOM/CP-16"</f>
        <v>DOM/CP-16</v>
      </c>
      <c r="D5552" t="s">
        <v>5664</v>
      </c>
      <c r="E5552" t="s">
        <v>4</v>
      </c>
      <c r="F5552">
        <v>10.8</v>
      </c>
      <c r="G5552">
        <v>0.6</v>
      </c>
      <c r="H5552" t="s">
        <v>4041</v>
      </c>
      <c r="I5552" s="1">
        <v>3.8</v>
      </c>
      <c r="J5552" s="1">
        <v>3.76</v>
      </c>
      <c r="K5552" t="s">
        <v>1274</v>
      </c>
      <c r="L5552" s="1">
        <v>4.1399999999999997</v>
      </c>
    </row>
    <row r="5553" spans="1:12">
      <c r="A5553" t="s">
        <v>5608</v>
      </c>
      <c r="B5553">
        <v>476337</v>
      </c>
      <c r="C5553" s="2" t="str">
        <f>"DOM/CP-18"</f>
        <v>DOM/CP-18</v>
      </c>
      <c r="D5553" t="s">
        <v>5665</v>
      </c>
      <c r="E5553" t="s">
        <v>4</v>
      </c>
      <c r="F5553">
        <v>46.44</v>
      </c>
      <c r="G5553">
        <v>1.29</v>
      </c>
      <c r="H5553" t="s">
        <v>1397</v>
      </c>
      <c r="I5553" s="1">
        <v>4.32</v>
      </c>
      <c r="J5553" s="1">
        <v>4.28</v>
      </c>
      <c r="K5553" t="s">
        <v>1274</v>
      </c>
      <c r="L5553" s="1">
        <v>4.71</v>
      </c>
    </row>
    <row r="5554" spans="1:12">
      <c r="A5554" t="s">
        <v>5608</v>
      </c>
      <c r="B5554">
        <v>481083</v>
      </c>
      <c r="C5554" s="2" t="str">
        <f>"DP-10"</f>
        <v>DP-10</v>
      </c>
      <c r="D5554" t="s">
        <v>5666</v>
      </c>
      <c r="E5554" t="s">
        <v>4</v>
      </c>
      <c r="F5554">
        <v>3.96</v>
      </c>
      <c r="G5554">
        <v>0.33</v>
      </c>
      <c r="H5554" t="s">
        <v>106</v>
      </c>
      <c r="I5554" s="1">
        <v>4.66</v>
      </c>
      <c r="J5554" s="1">
        <v>4.62</v>
      </c>
      <c r="K5554" t="s">
        <v>21</v>
      </c>
      <c r="L5554" s="1">
        <v>5.08</v>
      </c>
    </row>
    <row r="5555" spans="1:12">
      <c r="A5555" t="s">
        <v>5608</v>
      </c>
      <c r="B5555">
        <v>481081</v>
      </c>
      <c r="C5555" s="2" t="str">
        <f>"DP-16"</f>
        <v>DP-16</v>
      </c>
      <c r="D5555" t="s">
        <v>5667</v>
      </c>
      <c r="E5555" t="s">
        <v>4</v>
      </c>
      <c r="F5555">
        <v>3.96</v>
      </c>
      <c r="G5555">
        <v>0.33</v>
      </c>
      <c r="H5555" t="s">
        <v>106</v>
      </c>
      <c r="I5555" s="1">
        <v>4.66</v>
      </c>
      <c r="J5555" s="1">
        <v>4.62</v>
      </c>
      <c r="K5555" t="s">
        <v>21</v>
      </c>
      <c r="L5555" s="1">
        <v>5.08</v>
      </c>
    </row>
    <row r="5556" spans="1:12">
      <c r="A5556" t="s">
        <v>5608</v>
      </c>
      <c r="B5556">
        <v>476338</v>
      </c>
      <c r="C5556" s="2" t="str">
        <f>"DP-SP"</f>
        <v>DP-SP</v>
      </c>
      <c r="D5556" t="s">
        <v>5668</v>
      </c>
      <c r="E5556" t="s">
        <v>4</v>
      </c>
      <c r="F5556">
        <v>4.5599999999999996</v>
      </c>
      <c r="G5556">
        <v>0.38</v>
      </c>
      <c r="H5556" t="s">
        <v>106</v>
      </c>
      <c r="I5556" s="1">
        <v>2.08</v>
      </c>
      <c r="J5556" s="1">
        <v>2.06</v>
      </c>
      <c r="K5556" t="s">
        <v>21</v>
      </c>
      <c r="L5556" s="1">
        <v>2.27</v>
      </c>
    </row>
    <row r="5557" spans="1:12">
      <c r="A5557" t="s">
        <v>5608</v>
      </c>
      <c r="B5557">
        <v>482343</v>
      </c>
      <c r="C5557" s="2" t="str">
        <f>"DR-10"</f>
        <v>DR-10</v>
      </c>
      <c r="D5557" t="s">
        <v>5669</v>
      </c>
      <c r="E5557" t="s">
        <v>4</v>
      </c>
      <c r="F5557">
        <v>2.52</v>
      </c>
      <c r="G5557">
        <v>0.21</v>
      </c>
      <c r="H5557" t="s">
        <v>106</v>
      </c>
      <c r="I5557" s="1">
        <v>1.69</v>
      </c>
      <c r="J5557" s="1">
        <v>1.67</v>
      </c>
      <c r="K5557" t="s">
        <v>21</v>
      </c>
      <c r="L5557" s="1">
        <v>1.84</v>
      </c>
    </row>
    <row r="5558" spans="1:12">
      <c r="A5558" t="s">
        <v>5608</v>
      </c>
      <c r="B5558">
        <v>552877</v>
      </c>
      <c r="C5558" s="2" t="str">
        <f>"DR-PC"</f>
        <v>DR-PC</v>
      </c>
      <c r="D5558" t="s">
        <v>5670</v>
      </c>
      <c r="E5558" t="s">
        <v>4</v>
      </c>
      <c r="F5558">
        <v>7.44</v>
      </c>
      <c r="G5558">
        <v>0.31</v>
      </c>
      <c r="H5558" t="s">
        <v>666</v>
      </c>
      <c r="I5558" s="1">
        <v>1.53</v>
      </c>
      <c r="J5558" s="1">
        <v>1.52</v>
      </c>
      <c r="K5558" t="s">
        <v>21</v>
      </c>
      <c r="L5558" s="1">
        <v>1.67</v>
      </c>
    </row>
    <row r="5559" spans="1:12">
      <c r="A5559" t="s">
        <v>5608</v>
      </c>
      <c r="B5559">
        <v>476195</v>
      </c>
      <c r="C5559" s="2" t="str">
        <f>"DSS-12/BK"</f>
        <v>DSS-12/BK</v>
      </c>
      <c r="D5559" t="s">
        <v>5671</v>
      </c>
      <c r="E5559" t="s">
        <v>4</v>
      </c>
      <c r="F5559">
        <v>12.12</v>
      </c>
      <c r="G5559">
        <v>1.01</v>
      </c>
      <c r="H5559" t="s">
        <v>106</v>
      </c>
      <c r="I5559" s="1">
        <v>12.87</v>
      </c>
      <c r="J5559" s="1">
        <v>12.75</v>
      </c>
      <c r="K5559" t="s">
        <v>21</v>
      </c>
      <c r="L5559" s="1">
        <v>14.02</v>
      </c>
    </row>
    <row r="5560" spans="1:12">
      <c r="A5560" t="s">
        <v>5608</v>
      </c>
      <c r="B5560">
        <v>476340</v>
      </c>
      <c r="C5560" s="2" t="str">
        <f>"DT-3545"</f>
        <v>DT-3545</v>
      </c>
      <c r="D5560" t="s">
        <v>5672</v>
      </c>
      <c r="E5560" t="s">
        <v>4</v>
      </c>
      <c r="F5560">
        <v>1.56</v>
      </c>
      <c r="G5560">
        <v>0.13</v>
      </c>
      <c r="H5560" t="s">
        <v>106</v>
      </c>
      <c r="I5560" s="1">
        <v>1.25</v>
      </c>
      <c r="J5560" s="1">
        <v>1.24</v>
      </c>
      <c r="K5560" t="s">
        <v>21</v>
      </c>
      <c r="L5560" s="1">
        <v>1.36</v>
      </c>
    </row>
    <row r="5561" spans="1:12">
      <c r="A5561" t="s">
        <v>5608</v>
      </c>
      <c r="B5561">
        <v>476341</v>
      </c>
      <c r="C5561" s="2" t="str">
        <f>"DT-6X6"</f>
        <v>DT-6X6</v>
      </c>
      <c r="D5561" t="s">
        <v>5673</v>
      </c>
      <c r="E5561" t="s">
        <v>4</v>
      </c>
      <c r="F5561">
        <v>4.4400000000000004</v>
      </c>
      <c r="G5561">
        <v>0.37</v>
      </c>
      <c r="H5561" t="s">
        <v>106</v>
      </c>
      <c r="I5561" s="1">
        <v>1.53</v>
      </c>
      <c r="J5561" s="1">
        <v>1.52</v>
      </c>
      <c r="K5561" t="s">
        <v>21</v>
      </c>
      <c r="L5561" s="1">
        <v>1.67</v>
      </c>
    </row>
    <row r="5562" spans="1:12">
      <c r="A5562" t="s">
        <v>5608</v>
      </c>
      <c r="B5562">
        <v>482345</v>
      </c>
      <c r="C5562" s="2" t="str">
        <f>"EGU-5"</f>
        <v>EGU-5</v>
      </c>
      <c r="D5562" t="s">
        <v>5674</v>
      </c>
      <c r="E5562" t="s">
        <v>4</v>
      </c>
      <c r="F5562">
        <v>2.64</v>
      </c>
      <c r="G5562">
        <v>0.22</v>
      </c>
      <c r="H5562" t="s">
        <v>106</v>
      </c>
      <c r="I5562" s="1">
        <v>1.62</v>
      </c>
      <c r="J5562" s="1">
        <v>1.6</v>
      </c>
      <c r="K5562" t="s">
        <v>21</v>
      </c>
      <c r="L5562" s="1">
        <v>1.76</v>
      </c>
    </row>
    <row r="5563" spans="1:12">
      <c r="A5563" t="s">
        <v>5608</v>
      </c>
      <c r="B5563">
        <v>482347</v>
      </c>
      <c r="C5563" s="2" t="str">
        <f>"EGU-6"</f>
        <v>EGU-6</v>
      </c>
      <c r="D5563" t="s">
        <v>5675</v>
      </c>
      <c r="E5563" t="s">
        <v>4</v>
      </c>
      <c r="F5563">
        <v>3.84</v>
      </c>
      <c r="G5563">
        <v>0.32</v>
      </c>
      <c r="H5563" t="s">
        <v>106</v>
      </c>
      <c r="I5563" s="1">
        <v>2.38</v>
      </c>
      <c r="J5563" s="1">
        <v>2.36</v>
      </c>
      <c r="K5563" t="s">
        <v>21</v>
      </c>
      <c r="L5563" s="1">
        <v>2.59</v>
      </c>
    </row>
    <row r="5564" spans="1:12">
      <c r="A5564" t="s">
        <v>5608</v>
      </c>
      <c r="B5564">
        <v>482349</v>
      </c>
      <c r="C5564" s="2" t="str">
        <f>"EP-33"</f>
        <v>EP-33</v>
      </c>
      <c r="D5564" t="s">
        <v>5676</v>
      </c>
      <c r="E5564" t="s">
        <v>4</v>
      </c>
      <c r="F5564">
        <v>22.08</v>
      </c>
      <c r="G5564">
        <v>0.92</v>
      </c>
      <c r="H5564" t="s">
        <v>666</v>
      </c>
      <c r="I5564" s="1">
        <v>9.24</v>
      </c>
      <c r="J5564" s="1">
        <v>9.15</v>
      </c>
      <c r="K5564" t="s">
        <v>21</v>
      </c>
      <c r="L5564" s="1">
        <v>10.07</v>
      </c>
    </row>
    <row r="5565" spans="1:12">
      <c r="A5565" t="s">
        <v>5608</v>
      </c>
      <c r="B5565">
        <v>482446</v>
      </c>
      <c r="C5565" s="2" t="str">
        <f>"EPB-40M"</f>
        <v>EPB-40M</v>
      </c>
      <c r="D5565" t="s">
        <v>5677</v>
      </c>
      <c r="E5565" t="s">
        <v>4</v>
      </c>
      <c r="F5565">
        <v>27.12</v>
      </c>
      <c r="G5565">
        <v>1.1299999999999999</v>
      </c>
      <c r="H5565" t="s">
        <v>666</v>
      </c>
      <c r="I5565" s="1">
        <v>11.27</v>
      </c>
      <c r="J5565" s="1">
        <v>11.16</v>
      </c>
      <c r="K5565" t="s">
        <v>21</v>
      </c>
      <c r="L5565" s="1">
        <v>12.28</v>
      </c>
    </row>
    <row r="5566" spans="1:12">
      <c r="A5566" t="s">
        <v>5608</v>
      </c>
      <c r="B5566">
        <v>476342</v>
      </c>
      <c r="C5566" s="2" t="str">
        <f>"ES-AL"</f>
        <v>ES-AL</v>
      </c>
      <c r="D5566" t="s">
        <v>5678</v>
      </c>
      <c r="E5566" t="s">
        <v>4</v>
      </c>
      <c r="F5566">
        <v>3.96</v>
      </c>
      <c r="G5566">
        <v>0.33</v>
      </c>
      <c r="H5566" t="s">
        <v>106</v>
      </c>
      <c r="I5566" s="1">
        <v>3.05</v>
      </c>
      <c r="J5566" s="1">
        <v>3.02</v>
      </c>
      <c r="K5566" t="s">
        <v>21</v>
      </c>
      <c r="L5566" s="1">
        <v>3.32</v>
      </c>
    </row>
    <row r="5567" spans="1:12">
      <c r="A5567" t="s">
        <v>5608</v>
      </c>
      <c r="B5567">
        <v>482352</v>
      </c>
      <c r="C5567" s="2" t="str">
        <f>"ESC-10"</f>
        <v>ESC-10</v>
      </c>
      <c r="D5567" t="s">
        <v>5679</v>
      </c>
      <c r="E5567" t="s">
        <v>4</v>
      </c>
      <c r="F5567">
        <v>50.28</v>
      </c>
      <c r="G5567">
        <v>4.1900000000000004</v>
      </c>
      <c r="H5567" t="s">
        <v>106</v>
      </c>
      <c r="I5567" s="1">
        <v>1.7</v>
      </c>
      <c r="J5567" s="1">
        <v>1.68</v>
      </c>
      <c r="K5567" t="s">
        <v>21</v>
      </c>
      <c r="L5567" s="1">
        <v>1.85</v>
      </c>
    </row>
    <row r="5568" spans="1:12">
      <c r="A5568" t="s">
        <v>5608</v>
      </c>
      <c r="B5568">
        <v>552932</v>
      </c>
      <c r="C5568" s="2" t="str">
        <f>"ESFC-21"</f>
        <v>ESFC-21</v>
      </c>
      <c r="D5568" t="s">
        <v>5680</v>
      </c>
      <c r="E5568" t="s">
        <v>4</v>
      </c>
      <c r="F5568">
        <v>11</v>
      </c>
      <c r="H5568" t="s">
        <v>5</v>
      </c>
      <c r="I5568" s="1">
        <v>37.729999999999997</v>
      </c>
      <c r="J5568" s="1">
        <v>37.39</v>
      </c>
      <c r="K5568" t="s">
        <v>6</v>
      </c>
    </row>
    <row r="5569" spans="1:12">
      <c r="A5569" t="s">
        <v>5608</v>
      </c>
      <c r="B5569">
        <v>506973</v>
      </c>
      <c r="C5569" s="2" t="str">
        <f>"F3022/40"</f>
        <v>F3022/40</v>
      </c>
      <c r="D5569" t="s">
        <v>5681</v>
      </c>
      <c r="E5569" t="s">
        <v>4</v>
      </c>
      <c r="F5569">
        <v>24.84</v>
      </c>
      <c r="G5569">
        <v>2.0699999999999998</v>
      </c>
      <c r="H5569" t="s">
        <v>106</v>
      </c>
      <c r="I5569" s="1">
        <v>9.89</v>
      </c>
      <c r="J5569" s="1">
        <v>9.8000000000000007</v>
      </c>
      <c r="K5569" t="s">
        <v>21</v>
      </c>
      <c r="L5569" s="1">
        <v>10.78</v>
      </c>
    </row>
    <row r="5570" spans="1:12">
      <c r="A5570" t="s">
        <v>5608</v>
      </c>
      <c r="B5570">
        <v>476343</v>
      </c>
      <c r="C5570" s="2" t="str">
        <f>"FB-126PH"</f>
        <v>FB-126PH</v>
      </c>
      <c r="D5570" t="s">
        <v>5682</v>
      </c>
      <c r="E5570" t="s">
        <v>4</v>
      </c>
      <c r="F5570">
        <v>18.78</v>
      </c>
      <c r="G5570">
        <v>3.13</v>
      </c>
      <c r="H5570" t="s">
        <v>20</v>
      </c>
      <c r="I5570" s="1">
        <v>9.56</v>
      </c>
      <c r="J5570" s="1">
        <v>9.48</v>
      </c>
      <c r="K5570" t="s">
        <v>21</v>
      </c>
      <c r="L5570" s="1">
        <v>10.42</v>
      </c>
    </row>
    <row r="5571" spans="1:12">
      <c r="A5571" t="s">
        <v>5608</v>
      </c>
      <c r="B5571">
        <v>476345</v>
      </c>
      <c r="C5571" s="2" t="str">
        <f>"FB-135PH"</f>
        <v>FB-135PH</v>
      </c>
      <c r="D5571" t="s">
        <v>5682</v>
      </c>
      <c r="E5571" t="s">
        <v>4</v>
      </c>
      <c r="F5571">
        <v>15.6</v>
      </c>
      <c r="G5571">
        <v>2.6</v>
      </c>
      <c r="H5571" t="s">
        <v>20</v>
      </c>
      <c r="I5571" s="1">
        <v>9.56</v>
      </c>
      <c r="J5571" s="1">
        <v>9.48</v>
      </c>
      <c r="K5571" t="s">
        <v>21</v>
      </c>
      <c r="L5571" s="1">
        <v>10.42</v>
      </c>
    </row>
    <row r="5572" spans="1:12">
      <c r="A5572" t="s">
        <v>5608</v>
      </c>
      <c r="B5572">
        <v>559228</v>
      </c>
      <c r="C5572" s="2" t="str">
        <f>"FB3022/40"</f>
        <v>FB3022/40</v>
      </c>
      <c r="D5572" t="s">
        <v>5683</v>
      </c>
      <c r="E5572" t="s">
        <v>4</v>
      </c>
      <c r="F5572">
        <v>24.9</v>
      </c>
      <c r="H5572" t="s">
        <v>5</v>
      </c>
      <c r="I5572" s="1">
        <v>118.69</v>
      </c>
      <c r="J5572" s="1">
        <v>117.6</v>
      </c>
      <c r="K5572" t="s">
        <v>6</v>
      </c>
    </row>
    <row r="5573" spans="1:12">
      <c r="A5573" t="s">
        <v>5608</v>
      </c>
      <c r="B5573">
        <v>552615</v>
      </c>
      <c r="C5573" s="2" t="str">
        <f>"FB-9"</f>
        <v>FB-9</v>
      </c>
      <c r="D5573" t="s">
        <v>5684</v>
      </c>
      <c r="E5573" t="s">
        <v>4</v>
      </c>
      <c r="F5573">
        <v>15</v>
      </c>
      <c r="G5573">
        <v>1.5</v>
      </c>
      <c r="H5573" t="s">
        <v>108</v>
      </c>
      <c r="I5573" s="1">
        <v>5.5</v>
      </c>
      <c r="J5573" s="1">
        <v>5.45</v>
      </c>
      <c r="K5573" t="s">
        <v>21</v>
      </c>
      <c r="L5573" s="1">
        <v>5.99</v>
      </c>
    </row>
    <row r="5574" spans="1:12">
      <c r="A5574" t="s">
        <v>5608</v>
      </c>
      <c r="B5574">
        <v>493208</v>
      </c>
      <c r="C5574" s="2" t="str">
        <f>"FCH-4"</f>
        <v>FCH-4</v>
      </c>
      <c r="D5574" t="s">
        <v>5685</v>
      </c>
      <c r="E5574" t="s">
        <v>4</v>
      </c>
      <c r="F5574">
        <v>8.8800000000000008</v>
      </c>
      <c r="G5574">
        <v>4.4400000000000004</v>
      </c>
      <c r="H5574" t="s">
        <v>175</v>
      </c>
      <c r="I5574" s="1">
        <v>23.28</v>
      </c>
      <c r="J5574" s="1">
        <v>23.07</v>
      </c>
      <c r="K5574" t="s">
        <v>457</v>
      </c>
      <c r="L5574" s="1">
        <v>25.37</v>
      </c>
    </row>
    <row r="5575" spans="1:12">
      <c r="A5575" t="s">
        <v>5608</v>
      </c>
      <c r="B5575">
        <v>501539</v>
      </c>
      <c r="C5575" s="2" t="str">
        <f>"FC-SS"</f>
        <v>FC-SS</v>
      </c>
      <c r="D5575" t="s">
        <v>5686</v>
      </c>
      <c r="E5575" t="s">
        <v>4</v>
      </c>
      <c r="F5575">
        <v>8</v>
      </c>
      <c r="H5575" t="s">
        <v>5</v>
      </c>
      <c r="I5575" s="1">
        <v>44.21</v>
      </c>
      <c r="J5575" s="1">
        <v>43.8</v>
      </c>
      <c r="K5575" t="s">
        <v>6</v>
      </c>
    </row>
    <row r="5576" spans="1:12">
      <c r="A5576" t="s">
        <v>5608</v>
      </c>
      <c r="B5576">
        <v>482353</v>
      </c>
      <c r="C5576" s="2" t="str">
        <f>"FFT-1216BK"</f>
        <v>FFT-1216BK</v>
      </c>
      <c r="D5576" t="s">
        <v>5687</v>
      </c>
      <c r="E5576" t="s">
        <v>4</v>
      </c>
      <c r="F5576">
        <v>10</v>
      </c>
      <c r="H5576" t="s">
        <v>5</v>
      </c>
      <c r="I5576" s="1">
        <v>23.64</v>
      </c>
      <c r="J5576" s="1">
        <v>23.42</v>
      </c>
      <c r="K5576" t="s">
        <v>6</v>
      </c>
    </row>
    <row r="5577" spans="1:12">
      <c r="A5577" t="s">
        <v>5608</v>
      </c>
      <c r="B5577">
        <v>482354</v>
      </c>
      <c r="C5577" s="2" t="str">
        <f>"FFT-1216RD"</f>
        <v>FFT-1216RD</v>
      </c>
      <c r="D5577" t="s">
        <v>5688</v>
      </c>
      <c r="E5577" t="s">
        <v>4</v>
      </c>
      <c r="F5577">
        <v>0.69</v>
      </c>
      <c r="H5577" t="s">
        <v>5</v>
      </c>
      <c r="I5577" s="1">
        <v>23.64</v>
      </c>
      <c r="J5577" s="1">
        <v>23.42</v>
      </c>
      <c r="K5577" t="s">
        <v>6</v>
      </c>
    </row>
    <row r="5578" spans="1:12">
      <c r="A5578" t="s">
        <v>5608</v>
      </c>
      <c r="B5578">
        <v>476346</v>
      </c>
      <c r="C5578" s="2" t="str">
        <f>"FLT-CYP"</f>
        <v>FLT-CYP</v>
      </c>
      <c r="D5578" t="s">
        <v>5689</v>
      </c>
      <c r="E5578" t="s">
        <v>4</v>
      </c>
      <c r="F5578">
        <v>7.2</v>
      </c>
      <c r="G5578">
        <v>0.2</v>
      </c>
      <c r="H5578" t="s">
        <v>1397</v>
      </c>
      <c r="I5578" s="1">
        <v>0.61</v>
      </c>
      <c r="J5578" s="1">
        <v>0.6</v>
      </c>
      <c r="K5578" t="s">
        <v>21</v>
      </c>
      <c r="L5578" s="1">
        <v>0.66</v>
      </c>
    </row>
    <row r="5579" spans="1:12">
      <c r="A5579" t="s">
        <v>5608</v>
      </c>
      <c r="B5579">
        <v>476347</v>
      </c>
      <c r="C5579" s="2" t="str">
        <f>"FPW-5"</f>
        <v>FPW-5</v>
      </c>
      <c r="D5579" t="s">
        <v>5690</v>
      </c>
      <c r="E5579" t="s">
        <v>4</v>
      </c>
      <c r="F5579">
        <v>1.44</v>
      </c>
      <c r="G5579">
        <v>0.06</v>
      </c>
      <c r="H5579" t="s">
        <v>666</v>
      </c>
      <c r="I5579" s="1">
        <v>0.68</v>
      </c>
      <c r="J5579" s="1">
        <v>0.67</v>
      </c>
      <c r="K5579" t="s">
        <v>21</v>
      </c>
      <c r="L5579" s="1">
        <v>0.74</v>
      </c>
    </row>
    <row r="5580" spans="1:12">
      <c r="A5580" t="s">
        <v>5608</v>
      </c>
      <c r="B5580">
        <v>476349</v>
      </c>
      <c r="C5580" s="2" t="str">
        <f>"FSV-6S"</f>
        <v>FSV-6S</v>
      </c>
      <c r="D5580" t="s">
        <v>5691</v>
      </c>
      <c r="E5580" t="s">
        <v>4</v>
      </c>
      <c r="F5580">
        <v>3.36</v>
      </c>
      <c r="G5580">
        <v>0.28000000000000003</v>
      </c>
      <c r="H5580" t="s">
        <v>106</v>
      </c>
      <c r="I5580" s="1">
        <v>6.45</v>
      </c>
      <c r="J5580" s="1">
        <v>6.39</v>
      </c>
      <c r="K5580" t="s">
        <v>21</v>
      </c>
      <c r="L5580" s="1">
        <v>7.03</v>
      </c>
    </row>
    <row r="5581" spans="1:12">
      <c r="A5581" t="s">
        <v>5608</v>
      </c>
      <c r="B5581">
        <v>504632</v>
      </c>
      <c r="C5581" s="2" t="str">
        <f>"GNS-20"</f>
        <v>GNS-20</v>
      </c>
      <c r="D5581" t="s">
        <v>5692</v>
      </c>
      <c r="E5581" t="s">
        <v>4</v>
      </c>
      <c r="F5581">
        <v>17</v>
      </c>
      <c r="H5581" t="s">
        <v>5</v>
      </c>
      <c r="I5581" s="1">
        <v>120.73</v>
      </c>
      <c r="J5581" s="1">
        <v>119.62</v>
      </c>
      <c r="K5581" t="s">
        <v>6</v>
      </c>
    </row>
    <row r="5582" spans="1:12">
      <c r="A5582" t="s">
        <v>5608</v>
      </c>
      <c r="B5582">
        <v>482356</v>
      </c>
      <c r="C5582" s="2" t="str">
        <f>"GR-3T"</f>
        <v>GR-3T</v>
      </c>
      <c r="D5582" t="s">
        <v>5693</v>
      </c>
      <c r="E5582" t="s">
        <v>4</v>
      </c>
      <c r="F5582">
        <v>15</v>
      </c>
      <c r="G5582">
        <v>1.25</v>
      </c>
      <c r="H5582" t="s">
        <v>106</v>
      </c>
      <c r="I5582" s="1">
        <v>5.29</v>
      </c>
      <c r="J5582" s="1">
        <v>5.24</v>
      </c>
      <c r="K5582" t="s">
        <v>21</v>
      </c>
      <c r="L5582" s="1">
        <v>5.76</v>
      </c>
    </row>
    <row r="5583" spans="1:12">
      <c r="A5583" t="s">
        <v>5608</v>
      </c>
      <c r="B5583">
        <v>482357</v>
      </c>
      <c r="C5583" s="2" t="str">
        <f>"GR-449"</f>
        <v>GR-449</v>
      </c>
      <c r="D5583" t="s">
        <v>5694</v>
      </c>
      <c r="E5583" t="s">
        <v>4</v>
      </c>
      <c r="F5583">
        <v>9</v>
      </c>
      <c r="G5583">
        <v>0.75</v>
      </c>
      <c r="H5583" t="s">
        <v>106</v>
      </c>
      <c r="I5583" s="1">
        <v>4.4400000000000004</v>
      </c>
      <c r="J5583" s="1">
        <v>4.3899999999999997</v>
      </c>
      <c r="K5583" t="s">
        <v>21</v>
      </c>
      <c r="L5583" s="1">
        <v>4.83</v>
      </c>
    </row>
    <row r="5584" spans="1:12">
      <c r="A5584" t="s">
        <v>5608</v>
      </c>
      <c r="B5584">
        <v>482358</v>
      </c>
      <c r="C5584" s="2" t="str">
        <f>"GT-1400BK"</f>
        <v>GT-1400BK</v>
      </c>
      <c r="D5584" t="s">
        <v>5695</v>
      </c>
      <c r="E5584" t="s">
        <v>4</v>
      </c>
      <c r="F5584">
        <v>13.68</v>
      </c>
      <c r="G5584">
        <v>1.1399999999999999</v>
      </c>
      <c r="H5584" t="s">
        <v>106</v>
      </c>
      <c r="I5584" s="1">
        <v>3.3</v>
      </c>
      <c r="J5584" s="1">
        <v>3.27</v>
      </c>
      <c r="K5584" t="s">
        <v>21</v>
      </c>
      <c r="L5584" s="1">
        <v>3.6</v>
      </c>
    </row>
    <row r="5585" spans="1:12">
      <c r="A5585" t="s">
        <v>5608</v>
      </c>
      <c r="B5585">
        <v>482359</v>
      </c>
      <c r="C5585" s="2" t="str">
        <f>"GTFG-2700BK"</f>
        <v>GTFG-2700BK</v>
      </c>
      <c r="D5585" t="s">
        <v>5696</v>
      </c>
      <c r="E5585" t="s">
        <v>4</v>
      </c>
      <c r="F5585">
        <v>22.5</v>
      </c>
      <c r="G5585">
        <v>3.75</v>
      </c>
      <c r="H5585" t="s">
        <v>20</v>
      </c>
      <c r="I5585" s="1">
        <v>24.27</v>
      </c>
      <c r="J5585" s="1">
        <v>24.05</v>
      </c>
      <c r="K5585" t="s">
        <v>21</v>
      </c>
      <c r="L5585" s="1">
        <v>26.46</v>
      </c>
    </row>
    <row r="5586" spans="1:12">
      <c r="A5586" t="s">
        <v>5608</v>
      </c>
      <c r="B5586">
        <v>493311</v>
      </c>
      <c r="C5586" s="2" t="str">
        <f>"GWD-3"</f>
        <v>GWD-3</v>
      </c>
      <c r="D5586" t="s">
        <v>5697</v>
      </c>
      <c r="E5586" t="s">
        <v>4</v>
      </c>
      <c r="F5586">
        <v>16.2</v>
      </c>
      <c r="G5586">
        <v>1.35</v>
      </c>
      <c r="H5586" t="s">
        <v>106</v>
      </c>
      <c r="I5586" s="1">
        <v>9.2799999999999994</v>
      </c>
      <c r="J5586" s="1">
        <v>9.1999999999999993</v>
      </c>
      <c r="K5586" t="s">
        <v>457</v>
      </c>
      <c r="L5586" s="1">
        <v>10.119999999999999</v>
      </c>
    </row>
    <row r="5587" spans="1:12">
      <c r="A5587" t="s">
        <v>5608</v>
      </c>
      <c r="B5587">
        <v>476197</v>
      </c>
      <c r="C5587" s="2" t="str">
        <f>"H422/20"</f>
        <v>H422/20</v>
      </c>
      <c r="D5587" t="s">
        <v>5698</v>
      </c>
      <c r="E5587" t="s">
        <v>4</v>
      </c>
      <c r="F5587">
        <v>19.440000000000001</v>
      </c>
      <c r="G5587">
        <v>0.81</v>
      </c>
      <c r="H5587" t="s">
        <v>666</v>
      </c>
      <c r="I5587" s="1">
        <v>7.51</v>
      </c>
      <c r="J5587" s="1">
        <v>7.44</v>
      </c>
      <c r="K5587" t="s">
        <v>21</v>
      </c>
      <c r="L5587" s="1">
        <v>8.19</v>
      </c>
    </row>
    <row r="5588" spans="1:12">
      <c r="A5588" t="s">
        <v>5608</v>
      </c>
      <c r="B5588">
        <v>476198</v>
      </c>
      <c r="C5588" s="2" t="str">
        <f>"H422/32"</f>
        <v>H422/32</v>
      </c>
      <c r="D5588" t="s">
        <v>5699</v>
      </c>
      <c r="E5588" t="s">
        <v>4</v>
      </c>
      <c r="F5588">
        <v>30.72</v>
      </c>
      <c r="G5588">
        <v>1.28</v>
      </c>
      <c r="H5588" t="s">
        <v>666</v>
      </c>
      <c r="I5588" s="1">
        <v>10.94</v>
      </c>
      <c r="J5588" s="1">
        <v>10.84</v>
      </c>
      <c r="K5588" t="s">
        <v>21</v>
      </c>
      <c r="L5588" s="1">
        <v>11.92</v>
      </c>
    </row>
    <row r="5589" spans="1:12">
      <c r="A5589" t="s">
        <v>5608</v>
      </c>
      <c r="B5589">
        <v>476201</v>
      </c>
      <c r="C5589" s="2" t="str">
        <f>"H422/64"</f>
        <v>H422/64</v>
      </c>
      <c r="D5589" t="s">
        <v>5700</v>
      </c>
      <c r="E5589" t="s">
        <v>4</v>
      </c>
      <c r="F5589">
        <v>24</v>
      </c>
      <c r="G5589">
        <v>2</v>
      </c>
      <c r="H5589" t="s">
        <v>106</v>
      </c>
      <c r="I5589" s="1">
        <v>15.56</v>
      </c>
      <c r="J5589" s="1">
        <v>15.42</v>
      </c>
      <c r="K5589" t="s">
        <v>21</v>
      </c>
      <c r="L5589" s="1">
        <v>16.96</v>
      </c>
    </row>
    <row r="5590" spans="1:12">
      <c r="A5590" t="s">
        <v>5608</v>
      </c>
      <c r="B5590">
        <v>476350</v>
      </c>
      <c r="C5590" s="2" t="str">
        <f>"HB-1/PH"</f>
        <v>HB-1/PH</v>
      </c>
      <c r="D5590" t="s">
        <v>5701</v>
      </c>
      <c r="E5590" t="s">
        <v>4</v>
      </c>
      <c r="F5590">
        <v>3.12</v>
      </c>
      <c r="G5590">
        <v>0.26</v>
      </c>
      <c r="H5590" t="s">
        <v>106</v>
      </c>
      <c r="I5590" s="1">
        <v>2.59</v>
      </c>
      <c r="J5590" s="1">
        <v>2.57</v>
      </c>
      <c r="K5590" t="s">
        <v>21</v>
      </c>
      <c r="L5590" s="1">
        <v>2.83</v>
      </c>
    </row>
    <row r="5591" spans="1:12">
      <c r="A5591" t="s">
        <v>5608</v>
      </c>
      <c r="B5591">
        <v>476351</v>
      </c>
      <c r="C5591" s="2" t="str">
        <f>"HB-10/PH"</f>
        <v>HB-10/PH</v>
      </c>
      <c r="D5591" t="s">
        <v>5702</v>
      </c>
      <c r="E5591" t="s">
        <v>4</v>
      </c>
      <c r="F5591">
        <v>5.16</v>
      </c>
      <c r="G5591">
        <v>0.43</v>
      </c>
      <c r="H5591" t="s">
        <v>106</v>
      </c>
      <c r="I5591" s="1">
        <v>3.5</v>
      </c>
      <c r="J5591" s="1">
        <v>3.47</v>
      </c>
      <c r="K5591" t="s">
        <v>21</v>
      </c>
      <c r="L5591" s="1">
        <v>3.81</v>
      </c>
    </row>
    <row r="5592" spans="1:12">
      <c r="A5592" t="s">
        <v>5608</v>
      </c>
      <c r="B5592">
        <v>476356</v>
      </c>
      <c r="C5592" s="2" t="str">
        <f>"HB-11/PH"</f>
        <v>HB-11/PH</v>
      </c>
      <c r="D5592" t="s">
        <v>5703</v>
      </c>
      <c r="E5592" t="s">
        <v>4</v>
      </c>
      <c r="F5592">
        <v>4.5599999999999996</v>
      </c>
      <c r="G5592">
        <v>0.38</v>
      </c>
      <c r="H5592" t="s">
        <v>106</v>
      </c>
      <c r="I5592" s="1">
        <v>3.15</v>
      </c>
      <c r="J5592" s="1">
        <v>3.12</v>
      </c>
      <c r="K5592" t="s">
        <v>21</v>
      </c>
      <c r="L5592" s="1">
        <v>3.43</v>
      </c>
    </row>
    <row r="5593" spans="1:12">
      <c r="A5593" t="s">
        <v>5608</v>
      </c>
      <c r="B5593">
        <v>476357</v>
      </c>
      <c r="C5593" s="2" t="str">
        <f>"HB-2/PH"</f>
        <v>HB-2/PH</v>
      </c>
      <c r="D5593" t="s">
        <v>5704</v>
      </c>
      <c r="E5593" t="s">
        <v>4</v>
      </c>
      <c r="F5593">
        <v>3</v>
      </c>
      <c r="G5593">
        <v>0.25</v>
      </c>
      <c r="H5593" t="s">
        <v>106</v>
      </c>
      <c r="I5593" s="1">
        <v>2.65</v>
      </c>
      <c r="J5593" s="1">
        <v>2.63</v>
      </c>
      <c r="K5593" t="s">
        <v>21</v>
      </c>
      <c r="L5593" s="1">
        <v>2.89</v>
      </c>
    </row>
    <row r="5594" spans="1:12">
      <c r="A5594" t="s">
        <v>5608</v>
      </c>
      <c r="B5594">
        <v>476359</v>
      </c>
      <c r="C5594" s="2" t="str">
        <f>"HB-4/PH"</f>
        <v>HB-4/PH</v>
      </c>
      <c r="D5594" t="s">
        <v>5705</v>
      </c>
      <c r="E5594" t="s">
        <v>4</v>
      </c>
      <c r="F5594">
        <v>5.28</v>
      </c>
      <c r="G5594">
        <v>0.44</v>
      </c>
      <c r="H5594" t="s">
        <v>106</v>
      </c>
      <c r="I5594" s="1">
        <v>3.88</v>
      </c>
      <c r="J5594" s="1">
        <v>3.85</v>
      </c>
      <c r="K5594" t="s">
        <v>21</v>
      </c>
      <c r="L5594" s="1">
        <v>4.2300000000000004</v>
      </c>
    </row>
    <row r="5595" spans="1:12">
      <c r="A5595" t="s">
        <v>5608</v>
      </c>
      <c r="B5595">
        <v>476360</v>
      </c>
      <c r="C5595" s="2" t="str">
        <f>"HB-5/PH"</f>
        <v>HB-5/PH</v>
      </c>
      <c r="D5595" t="s">
        <v>5706</v>
      </c>
      <c r="E5595" t="s">
        <v>4</v>
      </c>
      <c r="F5595">
        <v>3.6</v>
      </c>
      <c r="G5595">
        <v>0.3</v>
      </c>
      <c r="H5595" t="s">
        <v>106</v>
      </c>
      <c r="I5595" s="1">
        <v>2.61</v>
      </c>
      <c r="J5595" s="1">
        <v>2.58</v>
      </c>
      <c r="K5595" t="s">
        <v>21</v>
      </c>
      <c r="L5595" s="1">
        <v>2.84</v>
      </c>
    </row>
    <row r="5596" spans="1:12">
      <c r="A5596" t="s">
        <v>5608</v>
      </c>
      <c r="B5596">
        <v>482461</v>
      </c>
      <c r="C5596" s="2" t="str">
        <f>"HB-6/PH"</f>
        <v>HB-6/PH</v>
      </c>
      <c r="D5596" t="s">
        <v>5707</v>
      </c>
      <c r="E5596" t="s">
        <v>4</v>
      </c>
      <c r="F5596">
        <v>3.96</v>
      </c>
      <c r="G5596">
        <v>0.33</v>
      </c>
      <c r="H5596" t="s">
        <v>106</v>
      </c>
      <c r="I5596" s="1">
        <v>3.15</v>
      </c>
      <c r="J5596" s="1">
        <v>3.12</v>
      </c>
      <c r="K5596" t="s">
        <v>21</v>
      </c>
      <c r="L5596" s="1">
        <v>3.43</v>
      </c>
    </row>
    <row r="5597" spans="1:12">
      <c r="A5597" t="s">
        <v>5608</v>
      </c>
      <c r="B5597">
        <v>476361</v>
      </c>
      <c r="C5597" s="2" t="str">
        <f>"HB-7/PH"</f>
        <v>HB-7/PH</v>
      </c>
      <c r="D5597" t="s">
        <v>5708</v>
      </c>
      <c r="E5597" t="s">
        <v>4</v>
      </c>
      <c r="F5597">
        <v>2.2799999999999998</v>
      </c>
      <c r="G5597">
        <v>0.19</v>
      </c>
      <c r="H5597" t="s">
        <v>106</v>
      </c>
      <c r="I5597" s="1">
        <v>2.4500000000000002</v>
      </c>
      <c r="J5597" s="1">
        <v>2.4300000000000002</v>
      </c>
      <c r="K5597" t="s">
        <v>21</v>
      </c>
      <c r="L5597" s="1">
        <v>2.67</v>
      </c>
    </row>
    <row r="5598" spans="1:12">
      <c r="A5598" t="s">
        <v>5608</v>
      </c>
      <c r="B5598">
        <v>485831</v>
      </c>
      <c r="C5598" s="2" t="str">
        <f>"HF-2020"</f>
        <v>HF-2020</v>
      </c>
      <c r="D5598" t="s">
        <v>5709</v>
      </c>
      <c r="E5598" t="s">
        <v>4</v>
      </c>
      <c r="F5598">
        <v>20</v>
      </c>
      <c r="H5598" t="s">
        <v>5</v>
      </c>
      <c r="I5598" s="1">
        <v>90.8</v>
      </c>
      <c r="J5598" s="1">
        <v>89.97</v>
      </c>
      <c r="K5598" t="s">
        <v>6</v>
      </c>
    </row>
    <row r="5599" spans="1:12">
      <c r="A5599" t="s">
        <v>5608</v>
      </c>
      <c r="B5599">
        <v>535459</v>
      </c>
      <c r="C5599" s="2" t="str">
        <f>"IC-1800W"</f>
        <v>IC-1800W</v>
      </c>
      <c r="D5599" t="s">
        <v>5710</v>
      </c>
      <c r="E5599" t="s">
        <v>4</v>
      </c>
      <c r="F5599">
        <v>212</v>
      </c>
      <c r="G5599">
        <v>53</v>
      </c>
      <c r="H5599" t="s">
        <v>153</v>
      </c>
      <c r="I5599" s="1">
        <v>195.55</v>
      </c>
      <c r="J5599" s="1">
        <v>193.75</v>
      </c>
      <c r="K5599" t="s">
        <v>21</v>
      </c>
      <c r="L5599" s="1">
        <v>213.13</v>
      </c>
    </row>
    <row r="5600" spans="1:12">
      <c r="A5600" t="s">
        <v>5608</v>
      </c>
      <c r="B5600">
        <v>476362</v>
      </c>
      <c r="C5600" s="2" t="str">
        <f>"IG-1624"</f>
        <v>IG-1624</v>
      </c>
      <c r="D5600" t="s">
        <v>5711</v>
      </c>
      <c r="E5600" t="s">
        <v>4</v>
      </c>
      <c r="F5600">
        <v>15</v>
      </c>
      <c r="G5600">
        <v>2.5</v>
      </c>
      <c r="H5600" t="s">
        <v>20</v>
      </c>
      <c r="I5600" s="1">
        <v>6.02</v>
      </c>
      <c r="J5600" s="1">
        <v>5.97</v>
      </c>
      <c r="K5600" t="s">
        <v>21</v>
      </c>
      <c r="L5600" s="1">
        <v>6.56</v>
      </c>
    </row>
    <row r="5601" spans="1:12">
      <c r="A5601" t="s">
        <v>5608</v>
      </c>
      <c r="B5601">
        <v>482361</v>
      </c>
      <c r="C5601" s="2" t="str">
        <f>"IS-40"</f>
        <v>IS-40</v>
      </c>
      <c r="D5601" t="s">
        <v>5712</v>
      </c>
      <c r="E5601" t="s">
        <v>4</v>
      </c>
      <c r="F5601">
        <v>9</v>
      </c>
      <c r="G5601">
        <v>1.5</v>
      </c>
      <c r="H5601" t="s">
        <v>20</v>
      </c>
      <c r="I5601" s="1">
        <v>6.7</v>
      </c>
      <c r="J5601" s="1">
        <v>6.64</v>
      </c>
      <c r="K5601" t="s">
        <v>21</v>
      </c>
      <c r="L5601" s="1">
        <v>7.31</v>
      </c>
    </row>
    <row r="5602" spans="1:12">
      <c r="A5602" t="s">
        <v>5608</v>
      </c>
      <c r="B5602">
        <v>482362</v>
      </c>
      <c r="C5602" s="2" t="str">
        <f>"IS-70"</f>
        <v>IS-70</v>
      </c>
      <c r="D5602" t="s">
        <v>5713</v>
      </c>
      <c r="E5602" t="s">
        <v>4</v>
      </c>
      <c r="F5602">
        <v>10.199999999999999</v>
      </c>
      <c r="G5602">
        <v>1.7</v>
      </c>
      <c r="H5602" t="s">
        <v>20</v>
      </c>
      <c r="I5602" s="1">
        <v>9.0399999999999991</v>
      </c>
      <c r="J5602" s="1">
        <v>8.9600000000000009</v>
      </c>
      <c r="K5602" t="s">
        <v>21</v>
      </c>
      <c r="L5602" s="1">
        <v>9.85</v>
      </c>
    </row>
    <row r="5603" spans="1:12">
      <c r="A5603" t="s">
        <v>5608</v>
      </c>
      <c r="B5603">
        <v>482363</v>
      </c>
      <c r="C5603" s="2" t="str">
        <f>"ISC-40"</f>
        <v>ISC-40</v>
      </c>
      <c r="D5603" t="s">
        <v>5714</v>
      </c>
      <c r="E5603" t="s">
        <v>4</v>
      </c>
      <c r="F5603">
        <v>2.2799999999999998</v>
      </c>
      <c r="G5603">
        <v>0.38</v>
      </c>
      <c r="H5603" t="s">
        <v>20</v>
      </c>
      <c r="I5603" s="1">
        <v>2.14</v>
      </c>
      <c r="J5603" s="1">
        <v>2.12</v>
      </c>
      <c r="K5603" t="s">
        <v>21</v>
      </c>
      <c r="L5603" s="1">
        <v>2.33</v>
      </c>
    </row>
    <row r="5604" spans="1:12">
      <c r="A5604" t="s">
        <v>5608</v>
      </c>
      <c r="B5604">
        <v>482364</v>
      </c>
      <c r="C5604" s="2" t="str">
        <f>"ISC-70"</f>
        <v>ISC-70</v>
      </c>
      <c r="D5604" t="s">
        <v>5715</v>
      </c>
      <c r="E5604" t="s">
        <v>4</v>
      </c>
      <c r="F5604">
        <v>3.78</v>
      </c>
      <c r="G5604">
        <v>0.63</v>
      </c>
      <c r="H5604" t="s">
        <v>20</v>
      </c>
      <c r="I5604" s="1">
        <v>2.9</v>
      </c>
      <c r="J5604" s="1">
        <v>2.88</v>
      </c>
      <c r="K5604" t="s">
        <v>21</v>
      </c>
      <c r="L5604" s="1">
        <v>3.17</v>
      </c>
    </row>
    <row r="5605" spans="1:12">
      <c r="A5605" t="s">
        <v>5608</v>
      </c>
      <c r="B5605">
        <v>482365</v>
      </c>
      <c r="C5605" s="2" t="str">
        <f>"ISHC-70"</f>
        <v>ISHC-70</v>
      </c>
      <c r="D5605" t="s">
        <v>5716</v>
      </c>
      <c r="E5605" t="s">
        <v>4</v>
      </c>
      <c r="F5605">
        <v>5.0999999999999996</v>
      </c>
      <c r="G5605">
        <v>0.85</v>
      </c>
      <c r="H5605" t="s">
        <v>20</v>
      </c>
      <c r="I5605" s="1">
        <v>5.5</v>
      </c>
      <c r="J5605" s="1">
        <v>5.45</v>
      </c>
      <c r="K5605" t="s">
        <v>21</v>
      </c>
      <c r="L5605" s="1">
        <v>5.99</v>
      </c>
    </row>
    <row r="5606" spans="1:12">
      <c r="A5606" t="s">
        <v>5608</v>
      </c>
      <c r="B5606">
        <v>482366</v>
      </c>
      <c r="C5606" s="2" t="str">
        <f>"JI-1"</f>
        <v>JI-1</v>
      </c>
      <c r="D5606" t="s">
        <v>5717</v>
      </c>
      <c r="E5606" t="s">
        <v>4</v>
      </c>
      <c r="F5606">
        <v>0.72</v>
      </c>
      <c r="G5606">
        <v>0.06</v>
      </c>
      <c r="H5606" t="s">
        <v>106</v>
      </c>
      <c r="I5606" s="1">
        <v>0.72</v>
      </c>
      <c r="J5606" s="1">
        <v>0.72</v>
      </c>
      <c r="K5606" t="s">
        <v>21</v>
      </c>
      <c r="L5606" s="1">
        <v>0.79</v>
      </c>
    </row>
    <row r="5607" spans="1:12">
      <c r="A5607" t="s">
        <v>5608</v>
      </c>
      <c r="B5607">
        <v>476363</v>
      </c>
      <c r="C5607" s="2" t="str">
        <f>"JI-2"</f>
        <v>JI-2</v>
      </c>
      <c r="D5607" t="s">
        <v>5718</v>
      </c>
      <c r="E5607" t="s">
        <v>4</v>
      </c>
      <c r="F5607">
        <v>0.96</v>
      </c>
      <c r="G5607">
        <v>0.08</v>
      </c>
      <c r="H5607" t="s">
        <v>106</v>
      </c>
      <c r="I5607" s="1">
        <v>0.72</v>
      </c>
      <c r="J5607" s="1">
        <v>0.72</v>
      </c>
      <c r="K5607" t="s">
        <v>21</v>
      </c>
      <c r="L5607" s="1">
        <v>0.79</v>
      </c>
    </row>
    <row r="5608" spans="1:12">
      <c r="A5608" t="s">
        <v>5608</v>
      </c>
      <c r="B5608">
        <v>476365</v>
      </c>
      <c r="C5608" s="2" t="str">
        <f>"JI-3"</f>
        <v>JI-3</v>
      </c>
      <c r="D5608" t="s">
        <v>5719</v>
      </c>
      <c r="E5608" t="s">
        <v>4</v>
      </c>
      <c r="F5608">
        <v>1.2</v>
      </c>
      <c r="G5608">
        <v>0.1</v>
      </c>
      <c r="H5608" t="s">
        <v>106</v>
      </c>
      <c r="I5608" s="1">
        <v>0.75</v>
      </c>
      <c r="J5608" s="1">
        <v>0.74</v>
      </c>
      <c r="K5608" t="s">
        <v>21</v>
      </c>
      <c r="L5608" s="1">
        <v>0.82</v>
      </c>
    </row>
    <row r="5609" spans="1:12">
      <c r="A5609" t="s">
        <v>5608</v>
      </c>
      <c r="B5609">
        <v>476366</v>
      </c>
      <c r="C5609" s="2" t="str">
        <f>"JI-5"</f>
        <v>JI-5</v>
      </c>
      <c r="D5609" t="s">
        <v>5720</v>
      </c>
      <c r="E5609" t="s">
        <v>4</v>
      </c>
      <c r="F5609">
        <v>1.44</v>
      </c>
      <c r="G5609">
        <v>0.12</v>
      </c>
      <c r="H5609" t="s">
        <v>106</v>
      </c>
      <c r="I5609" s="1">
        <v>0.85</v>
      </c>
      <c r="J5609" s="1">
        <v>0.84</v>
      </c>
      <c r="K5609" t="s">
        <v>21</v>
      </c>
      <c r="L5609" s="1">
        <v>0.93</v>
      </c>
    </row>
    <row r="5610" spans="1:12">
      <c r="A5610" t="s">
        <v>5608</v>
      </c>
      <c r="B5610">
        <v>493220</v>
      </c>
      <c r="C5610" s="2" t="str">
        <f>"JI-6"</f>
        <v>JI-6</v>
      </c>
      <c r="D5610" t="s">
        <v>5721</v>
      </c>
      <c r="E5610" t="s">
        <v>4</v>
      </c>
      <c r="F5610">
        <v>1.56</v>
      </c>
      <c r="G5610">
        <v>0.13</v>
      </c>
      <c r="H5610" t="s">
        <v>106</v>
      </c>
      <c r="I5610" s="1">
        <v>0.89</v>
      </c>
      <c r="J5610" s="1">
        <v>0.88</v>
      </c>
      <c r="K5610" t="s">
        <v>457</v>
      </c>
      <c r="L5610" s="1">
        <v>0.97</v>
      </c>
    </row>
    <row r="5611" spans="1:12">
      <c r="A5611" t="s">
        <v>5608</v>
      </c>
      <c r="B5611">
        <v>552617</v>
      </c>
      <c r="C5611" s="2" t="str">
        <f>"KB-164"</f>
        <v>KB-164</v>
      </c>
      <c r="D5611" t="s">
        <v>5722</v>
      </c>
      <c r="E5611" t="s">
        <v>4</v>
      </c>
      <c r="F5611">
        <v>10.8</v>
      </c>
      <c r="G5611">
        <v>0.9</v>
      </c>
      <c r="H5611" t="s">
        <v>106</v>
      </c>
      <c r="I5611" s="1">
        <v>9.81</v>
      </c>
      <c r="J5611" s="1">
        <v>9.7200000000000006</v>
      </c>
      <c r="K5611" t="s">
        <v>21</v>
      </c>
      <c r="L5611" s="1">
        <v>10.69</v>
      </c>
    </row>
    <row r="5612" spans="1:12">
      <c r="A5612" t="s">
        <v>5608</v>
      </c>
      <c r="B5612">
        <v>552933</v>
      </c>
      <c r="C5612" s="2" t="str">
        <f>"KCL-7HD"</f>
        <v>KCL-7HD</v>
      </c>
      <c r="D5612" t="s">
        <v>5723</v>
      </c>
      <c r="E5612" t="s">
        <v>4</v>
      </c>
      <c r="F5612">
        <v>7.52</v>
      </c>
      <c r="G5612">
        <v>1.88</v>
      </c>
      <c r="H5612" t="s">
        <v>153</v>
      </c>
      <c r="I5612" s="1">
        <v>12.12</v>
      </c>
      <c r="J5612" s="1">
        <v>12</v>
      </c>
      <c r="K5612" t="s">
        <v>21</v>
      </c>
      <c r="L5612" s="1">
        <v>13.2</v>
      </c>
    </row>
    <row r="5613" spans="1:12">
      <c r="A5613" t="s">
        <v>5608</v>
      </c>
      <c r="B5613">
        <v>484792</v>
      </c>
      <c r="C5613" s="2" t="str">
        <f>"KR-1212"</f>
        <v>KR-1212</v>
      </c>
      <c r="D5613" t="s">
        <v>5724</v>
      </c>
      <c r="E5613" t="s">
        <v>4</v>
      </c>
      <c r="F5613">
        <v>29.4</v>
      </c>
      <c r="G5613">
        <v>2.4500000000000002</v>
      </c>
      <c r="H5613" t="s">
        <v>106</v>
      </c>
      <c r="I5613" s="1">
        <v>9.85</v>
      </c>
      <c r="J5613" s="1">
        <v>9.76</v>
      </c>
      <c r="K5613" t="s">
        <v>21</v>
      </c>
      <c r="L5613" s="1">
        <v>10.73</v>
      </c>
    </row>
    <row r="5614" spans="1:12">
      <c r="A5614" t="s">
        <v>5608</v>
      </c>
      <c r="B5614">
        <v>476367</v>
      </c>
      <c r="C5614" s="2" t="str">
        <f>"KW-48"</f>
        <v>KW-48</v>
      </c>
      <c r="D5614" t="s">
        <v>5725</v>
      </c>
      <c r="E5614" t="s">
        <v>4</v>
      </c>
      <c r="F5614">
        <v>6</v>
      </c>
      <c r="G5614">
        <v>3</v>
      </c>
      <c r="H5614" t="s">
        <v>175</v>
      </c>
      <c r="I5614" s="1">
        <v>22.5</v>
      </c>
      <c r="J5614" s="1">
        <v>22.3</v>
      </c>
      <c r="K5614" t="s">
        <v>21</v>
      </c>
      <c r="L5614" s="1">
        <v>24.53</v>
      </c>
    </row>
    <row r="5615" spans="1:12">
      <c r="A5615" t="s">
        <v>5608</v>
      </c>
      <c r="B5615">
        <v>482367</v>
      </c>
      <c r="C5615" s="2" t="str">
        <f>"LOP-10"</f>
        <v>LOP-10</v>
      </c>
      <c r="D5615" t="s">
        <v>5726</v>
      </c>
      <c r="E5615" t="s">
        <v>4</v>
      </c>
      <c r="F5615">
        <v>1.92</v>
      </c>
      <c r="G5615">
        <v>0.16</v>
      </c>
      <c r="H5615" t="s">
        <v>106</v>
      </c>
      <c r="I5615" s="1">
        <v>0.79</v>
      </c>
      <c r="J5615" s="1">
        <v>0.79</v>
      </c>
      <c r="K5615" t="s">
        <v>21</v>
      </c>
      <c r="L5615" s="1">
        <v>0.86</v>
      </c>
    </row>
    <row r="5616" spans="1:12">
      <c r="A5616" t="s">
        <v>5608</v>
      </c>
      <c r="B5616">
        <v>482368</v>
      </c>
      <c r="C5616" s="2" t="str">
        <f>"LOP-20"</f>
        <v>LOP-20</v>
      </c>
      <c r="D5616" t="s">
        <v>5727</v>
      </c>
      <c r="E5616" t="s">
        <v>4</v>
      </c>
      <c r="F5616">
        <v>3</v>
      </c>
      <c r="G5616">
        <v>0.25</v>
      </c>
      <c r="H5616" t="s">
        <v>106</v>
      </c>
      <c r="I5616" s="1">
        <v>1.01</v>
      </c>
      <c r="J5616" s="1">
        <v>1.01</v>
      </c>
      <c r="K5616" t="s">
        <v>21</v>
      </c>
      <c r="L5616" s="1">
        <v>1.1200000000000001</v>
      </c>
    </row>
    <row r="5617" spans="1:12">
      <c r="A5617" t="s">
        <v>5608</v>
      </c>
      <c r="B5617">
        <v>482369</v>
      </c>
      <c r="C5617" s="2" t="str">
        <f>"LOP-30"</f>
        <v>LOP-30</v>
      </c>
      <c r="D5617" t="s">
        <v>5728</v>
      </c>
      <c r="E5617" t="s">
        <v>4</v>
      </c>
      <c r="F5617">
        <v>3.96</v>
      </c>
      <c r="G5617">
        <v>0.33</v>
      </c>
      <c r="H5617" t="s">
        <v>106</v>
      </c>
      <c r="I5617" s="1">
        <v>1.36</v>
      </c>
      <c r="J5617" s="1">
        <v>1.35</v>
      </c>
      <c r="K5617" t="s">
        <v>21</v>
      </c>
      <c r="L5617" s="1">
        <v>1.48</v>
      </c>
    </row>
    <row r="5618" spans="1:12">
      <c r="A5618" t="s">
        <v>5608</v>
      </c>
      <c r="B5618">
        <v>482370</v>
      </c>
      <c r="C5618" s="2" t="str">
        <f>"LOP-40"</f>
        <v>LOP-40</v>
      </c>
      <c r="D5618" t="s">
        <v>5729</v>
      </c>
      <c r="E5618" t="s">
        <v>4</v>
      </c>
      <c r="F5618">
        <v>3.72</v>
      </c>
      <c r="G5618">
        <v>0.31</v>
      </c>
      <c r="H5618" t="s">
        <v>106</v>
      </c>
      <c r="I5618" s="1">
        <v>1.53</v>
      </c>
      <c r="J5618" s="1">
        <v>1.52</v>
      </c>
      <c r="K5618" t="s">
        <v>21</v>
      </c>
      <c r="L5618" s="1">
        <v>1.67</v>
      </c>
    </row>
    <row r="5619" spans="1:12">
      <c r="A5619" t="s">
        <v>5608</v>
      </c>
      <c r="B5619">
        <v>482371</v>
      </c>
      <c r="C5619" s="2" t="str">
        <f>"LOP-60"</f>
        <v>LOP-60</v>
      </c>
      <c r="D5619" t="s">
        <v>5730</v>
      </c>
      <c r="E5619" t="s">
        <v>4</v>
      </c>
      <c r="F5619">
        <v>4.5599999999999996</v>
      </c>
      <c r="G5619">
        <v>0.38</v>
      </c>
      <c r="H5619" t="s">
        <v>106</v>
      </c>
      <c r="I5619" s="1">
        <v>1.81</v>
      </c>
      <c r="J5619" s="1">
        <v>1.8</v>
      </c>
      <c r="K5619" t="s">
        <v>21</v>
      </c>
      <c r="L5619" s="1">
        <v>1.98</v>
      </c>
    </row>
    <row r="5620" spans="1:12">
      <c r="A5620" t="s">
        <v>5608</v>
      </c>
      <c r="B5620">
        <v>544139</v>
      </c>
      <c r="C5620" s="2" t="str">
        <f>"LSVL-25/BK/SF"</f>
        <v>LSVL-25/BK/SF</v>
      </c>
      <c r="D5620" t="s">
        <v>5731</v>
      </c>
      <c r="E5620" t="s">
        <v>4</v>
      </c>
      <c r="F5620">
        <v>26.28</v>
      </c>
      <c r="G5620">
        <v>4.38</v>
      </c>
      <c r="H5620" t="s">
        <v>20</v>
      </c>
      <c r="I5620" s="1">
        <v>35.14</v>
      </c>
      <c r="J5620" s="1">
        <v>34.82</v>
      </c>
      <c r="K5620" t="s">
        <v>21</v>
      </c>
      <c r="L5620" s="1">
        <v>38.299999999999997</v>
      </c>
    </row>
    <row r="5621" spans="1:12">
      <c r="A5621" t="s">
        <v>5608</v>
      </c>
      <c r="B5621">
        <v>482372</v>
      </c>
      <c r="C5621" s="2" t="str">
        <f>"MB-1300"</f>
        <v>MB-1300</v>
      </c>
      <c r="D5621" t="s">
        <v>5732</v>
      </c>
      <c r="E5621" t="s">
        <v>4</v>
      </c>
      <c r="F5621">
        <v>14.76</v>
      </c>
      <c r="G5621">
        <v>1.23</v>
      </c>
      <c r="H5621" t="s">
        <v>106</v>
      </c>
      <c r="I5621" s="1">
        <v>4.28</v>
      </c>
      <c r="J5621" s="1">
        <v>4.24</v>
      </c>
      <c r="K5621" t="s">
        <v>21</v>
      </c>
      <c r="L5621" s="1">
        <v>4.66</v>
      </c>
    </row>
    <row r="5622" spans="1:12">
      <c r="A5622" t="s">
        <v>5608</v>
      </c>
      <c r="B5622">
        <v>482373</v>
      </c>
      <c r="C5622" s="2" t="str">
        <f>"MB-150"</f>
        <v>MB-150</v>
      </c>
      <c r="D5622" t="s">
        <v>5733</v>
      </c>
      <c r="E5622" t="s">
        <v>4</v>
      </c>
      <c r="F5622">
        <v>7.68</v>
      </c>
      <c r="G5622">
        <v>0.32</v>
      </c>
      <c r="H5622" t="s">
        <v>666</v>
      </c>
      <c r="I5622" s="1">
        <v>0.95</v>
      </c>
      <c r="J5622" s="1">
        <v>0.94</v>
      </c>
      <c r="K5622" t="s">
        <v>21</v>
      </c>
      <c r="L5622" s="1">
        <v>1.03</v>
      </c>
    </row>
    <row r="5623" spans="1:12">
      <c r="A5623" t="s">
        <v>5608</v>
      </c>
      <c r="B5623">
        <v>482374</v>
      </c>
      <c r="C5623" s="2" t="str">
        <f>"MB-300"</f>
        <v>MB-300</v>
      </c>
      <c r="D5623" t="s">
        <v>5734</v>
      </c>
      <c r="E5623" t="s">
        <v>4</v>
      </c>
      <c r="F5623">
        <v>7.68</v>
      </c>
      <c r="G5623">
        <v>0.32</v>
      </c>
      <c r="H5623" t="s">
        <v>666</v>
      </c>
      <c r="I5623" s="1">
        <v>1.49</v>
      </c>
      <c r="J5623" s="1">
        <v>1.47</v>
      </c>
      <c r="K5623" t="s">
        <v>21</v>
      </c>
      <c r="L5623" s="1">
        <v>1.62</v>
      </c>
    </row>
    <row r="5624" spans="1:12">
      <c r="A5624" t="s">
        <v>5608</v>
      </c>
      <c r="B5624">
        <v>482377</v>
      </c>
      <c r="C5624" s="2" t="str">
        <f>"MB-500"</f>
        <v>MB-500</v>
      </c>
      <c r="D5624" t="s">
        <v>5735</v>
      </c>
      <c r="E5624" t="s">
        <v>4</v>
      </c>
      <c r="F5624">
        <v>13.68</v>
      </c>
      <c r="G5624">
        <v>0.56999999999999995</v>
      </c>
      <c r="H5624" t="s">
        <v>666</v>
      </c>
      <c r="I5624" s="1">
        <v>2.25</v>
      </c>
      <c r="J5624" s="1">
        <v>2.23</v>
      </c>
      <c r="K5624" t="s">
        <v>21</v>
      </c>
      <c r="L5624" s="1">
        <v>2.46</v>
      </c>
    </row>
    <row r="5625" spans="1:12">
      <c r="A5625" t="s">
        <v>5608</v>
      </c>
      <c r="B5625">
        <v>482379</v>
      </c>
      <c r="C5625" s="2" t="str">
        <f>"MB-800"</f>
        <v>MB-800</v>
      </c>
      <c r="D5625" t="s">
        <v>5736</v>
      </c>
      <c r="E5625" t="s">
        <v>4</v>
      </c>
      <c r="F5625">
        <v>10.32</v>
      </c>
      <c r="G5625">
        <v>0.86</v>
      </c>
      <c r="H5625" t="s">
        <v>106</v>
      </c>
      <c r="I5625" s="1">
        <v>3.09</v>
      </c>
      <c r="J5625" s="1">
        <v>3.06</v>
      </c>
      <c r="K5625" t="s">
        <v>21</v>
      </c>
      <c r="L5625" s="1">
        <v>3.37</v>
      </c>
    </row>
    <row r="5626" spans="1:12">
      <c r="A5626" t="s">
        <v>5608</v>
      </c>
      <c r="B5626">
        <v>484781</v>
      </c>
      <c r="C5626" s="2" t="str">
        <f>"MC-30"</f>
        <v>MC-30</v>
      </c>
      <c r="D5626" t="s">
        <v>5737</v>
      </c>
      <c r="E5626" t="s">
        <v>4</v>
      </c>
      <c r="F5626">
        <v>5.88</v>
      </c>
      <c r="G5626">
        <v>0.49</v>
      </c>
      <c r="H5626" t="s">
        <v>106</v>
      </c>
      <c r="I5626" s="1">
        <v>2.4500000000000002</v>
      </c>
      <c r="J5626" s="1">
        <v>2.4300000000000002</v>
      </c>
      <c r="K5626" t="s">
        <v>21</v>
      </c>
      <c r="L5626" s="1">
        <v>2.67</v>
      </c>
    </row>
    <row r="5627" spans="1:12">
      <c r="A5627" t="s">
        <v>5608</v>
      </c>
      <c r="B5627">
        <v>476371</v>
      </c>
      <c r="C5627" s="2" t="str">
        <f>"MCH-18"</f>
        <v>MCH-18</v>
      </c>
      <c r="D5627" t="s">
        <v>5738</v>
      </c>
      <c r="E5627" t="s">
        <v>4</v>
      </c>
      <c r="F5627">
        <v>7.56</v>
      </c>
      <c r="G5627">
        <v>0.63</v>
      </c>
      <c r="H5627" t="s">
        <v>106</v>
      </c>
      <c r="I5627" s="1">
        <v>2.88</v>
      </c>
      <c r="J5627" s="1">
        <v>2.85</v>
      </c>
      <c r="K5627" t="s">
        <v>21</v>
      </c>
      <c r="L5627" s="1">
        <v>3.14</v>
      </c>
    </row>
    <row r="5628" spans="1:12">
      <c r="A5628" t="s">
        <v>5608</v>
      </c>
      <c r="B5628">
        <v>552618</v>
      </c>
      <c r="C5628" s="2" t="str">
        <f>"MEA-50PC"</f>
        <v>MEA-50PC</v>
      </c>
      <c r="D5628" t="s">
        <v>5739</v>
      </c>
      <c r="E5628" t="s">
        <v>4</v>
      </c>
      <c r="F5628">
        <v>1.62</v>
      </c>
      <c r="G5628">
        <v>0.27</v>
      </c>
      <c r="H5628" t="s">
        <v>20</v>
      </c>
      <c r="I5628" s="1">
        <v>2.31</v>
      </c>
      <c r="J5628" s="1">
        <v>2.29</v>
      </c>
      <c r="K5628" t="s">
        <v>21</v>
      </c>
      <c r="L5628" s="1">
        <v>2.52</v>
      </c>
    </row>
    <row r="5629" spans="1:12">
      <c r="A5629" t="s">
        <v>5608</v>
      </c>
      <c r="B5629">
        <v>476372</v>
      </c>
      <c r="C5629" s="2" t="str">
        <f>"MEA-CUP"</f>
        <v>MEA-CUP</v>
      </c>
      <c r="D5629" t="s">
        <v>5740</v>
      </c>
      <c r="E5629" t="s">
        <v>4</v>
      </c>
      <c r="F5629">
        <v>6.72</v>
      </c>
      <c r="G5629">
        <v>0.56000000000000005</v>
      </c>
      <c r="H5629" t="s">
        <v>106</v>
      </c>
      <c r="I5629" s="1">
        <v>2.62</v>
      </c>
      <c r="J5629" s="1">
        <v>2.6</v>
      </c>
      <c r="K5629" t="s">
        <v>21</v>
      </c>
      <c r="L5629" s="1">
        <v>2.86</v>
      </c>
    </row>
    <row r="5630" spans="1:12">
      <c r="A5630" t="s">
        <v>5608</v>
      </c>
      <c r="B5630">
        <v>558240</v>
      </c>
      <c r="C5630" s="2" t="str">
        <f>"MEA-PC/SET"</f>
        <v>MEA-PC/SET</v>
      </c>
      <c r="D5630" t="s">
        <v>5741</v>
      </c>
      <c r="E5630" t="s">
        <v>4</v>
      </c>
      <c r="F5630">
        <v>15</v>
      </c>
      <c r="H5630" t="s">
        <v>5</v>
      </c>
      <c r="I5630" s="1">
        <v>137.72999999999999</v>
      </c>
      <c r="J5630" s="1">
        <v>136.47</v>
      </c>
      <c r="K5630" t="s">
        <v>6</v>
      </c>
    </row>
    <row r="5631" spans="1:12">
      <c r="A5631" t="s">
        <v>5608</v>
      </c>
      <c r="B5631">
        <v>482380</v>
      </c>
      <c r="C5631" s="2" t="str">
        <f>"MEA-SPDX"</f>
        <v>MEA-SPDX</v>
      </c>
      <c r="D5631" t="s">
        <v>5742</v>
      </c>
      <c r="E5631" t="s">
        <v>4</v>
      </c>
      <c r="F5631">
        <v>3.84</v>
      </c>
      <c r="G5631">
        <v>0.16</v>
      </c>
      <c r="H5631" t="s">
        <v>666</v>
      </c>
      <c r="I5631" s="1">
        <v>1.54</v>
      </c>
      <c r="J5631" s="1">
        <v>1.53</v>
      </c>
      <c r="K5631" t="s">
        <v>1866</v>
      </c>
      <c r="L5631" s="1">
        <v>1.68</v>
      </c>
    </row>
    <row r="5632" spans="1:12">
      <c r="A5632" t="s">
        <v>5608</v>
      </c>
      <c r="B5632">
        <v>482381</v>
      </c>
      <c r="C5632" s="2" t="str">
        <f>"MJHD-21N"</f>
        <v>MJHD-21N</v>
      </c>
      <c r="D5632" t="s">
        <v>5743</v>
      </c>
      <c r="E5632" t="s">
        <v>4</v>
      </c>
      <c r="F5632">
        <v>55</v>
      </c>
      <c r="G5632">
        <v>13.75</v>
      </c>
      <c r="H5632" t="s">
        <v>153</v>
      </c>
      <c r="I5632" s="1">
        <v>66.03</v>
      </c>
      <c r="J5632" s="1">
        <v>65.430000000000007</v>
      </c>
      <c r="K5632" t="s">
        <v>21</v>
      </c>
      <c r="L5632" s="1">
        <v>71.97</v>
      </c>
    </row>
    <row r="5633" spans="1:12">
      <c r="A5633" t="s">
        <v>5608</v>
      </c>
      <c r="B5633">
        <v>548981</v>
      </c>
      <c r="C5633" s="2" t="str">
        <f>"MOL-10"</f>
        <v>MOL-10</v>
      </c>
      <c r="D5633" t="s">
        <v>5744</v>
      </c>
      <c r="E5633" t="s">
        <v>4</v>
      </c>
      <c r="F5633">
        <v>7.3</v>
      </c>
      <c r="H5633" t="s">
        <v>5</v>
      </c>
      <c r="I5633" s="1">
        <v>44.78</v>
      </c>
      <c r="J5633" s="1">
        <v>44.37</v>
      </c>
      <c r="K5633" t="s">
        <v>6</v>
      </c>
    </row>
    <row r="5634" spans="1:12">
      <c r="A5634" t="s">
        <v>5608</v>
      </c>
      <c r="B5634">
        <v>519562</v>
      </c>
      <c r="C5634" s="2" t="str">
        <f>"MOL-4"</f>
        <v>MOL-4</v>
      </c>
      <c r="D5634" t="s">
        <v>5745</v>
      </c>
      <c r="E5634" t="s">
        <v>4</v>
      </c>
      <c r="F5634">
        <v>3.3</v>
      </c>
      <c r="H5634" t="s">
        <v>5</v>
      </c>
      <c r="I5634" s="1">
        <v>28.17</v>
      </c>
      <c r="J5634" s="1">
        <v>27.91</v>
      </c>
      <c r="K5634" t="s">
        <v>6</v>
      </c>
    </row>
    <row r="5635" spans="1:12">
      <c r="A5635" t="s">
        <v>5608</v>
      </c>
      <c r="B5635">
        <v>476373</v>
      </c>
      <c r="C5635" s="2" t="str">
        <f>"MPA-12"</f>
        <v>MPA-12</v>
      </c>
      <c r="D5635" t="s">
        <v>5746</v>
      </c>
      <c r="E5635" t="s">
        <v>4</v>
      </c>
      <c r="F5635">
        <v>33.6</v>
      </c>
      <c r="G5635">
        <v>1.4</v>
      </c>
      <c r="H5635" t="s">
        <v>666</v>
      </c>
      <c r="I5635" s="1">
        <v>8.64</v>
      </c>
      <c r="J5635" s="1">
        <v>8.56</v>
      </c>
      <c r="K5635" t="s">
        <v>21</v>
      </c>
      <c r="L5635" s="1">
        <v>9.42</v>
      </c>
    </row>
    <row r="5636" spans="1:12">
      <c r="A5636" t="s">
        <v>5608</v>
      </c>
      <c r="B5636">
        <v>476374</v>
      </c>
      <c r="C5636" s="2" t="str">
        <f>"MPA-24"</f>
        <v>MPA-24</v>
      </c>
      <c r="D5636" t="s">
        <v>5747</v>
      </c>
      <c r="E5636" t="s">
        <v>4</v>
      </c>
      <c r="F5636">
        <v>29.28</v>
      </c>
      <c r="G5636">
        <v>2.44</v>
      </c>
      <c r="H5636" t="s">
        <v>106</v>
      </c>
      <c r="I5636" s="1">
        <v>16.010000000000002</v>
      </c>
      <c r="J5636" s="1">
        <v>15.87</v>
      </c>
      <c r="K5636" t="s">
        <v>21</v>
      </c>
      <c r="L5636" s="1">
        <v>17.45</v>
      </c>
    </row>
    <row r="5637" spans="1:12">
      <c r="A5637" t="s">
        <v>5608</v>
      </c>
      <c r="B5637">
        <v>476375</v>
      </c>
      <c r="C5637" s="2" t="str">
        <f>"MPS-36"</f>
        <v>MPS-36</v>
      </c>
      <c r="D5637" t="s">
        <v>5748</v>
      </c>
      <c r="E5637" t="s">
        <v>4</v>
      </c>
      <c r="F5637">
        <v>22.44</v>
      </c>
      <c r="G5637">
        <v>1.87</v>
      </c>
      <c r="H5637" t="s">
        <v>106</v>
      </c>
      <c r="I5637" s="1">
        <v>11.17</v>
      </c>
      <c r="J5637" s="1">
        <v>11.06</v>
      </c>
      <c r="K5637" t="s">
        <v>21</v>
      </c>
      <c r="L5637" s="1">
        <v>12.17</v>
      </c>
    </row>
    <row r="5638" spans="1:12">
      <c r="A5638" t="s">
        <v>5608</v>
      </c>
      <c r="B5638">
        <v>476376</v>
      </c>
      <c r="C5638" s="2" t="str">
        <f>"MPS-48"</f>
        <v>MPS-48</v>
      </c>
      <c r="D5638" t="s">
        <v>5749</v>
      </c>
      <c r="E5638" t="s">
        <v>4</v>
      </c>
      <c r="F5638">
        <v>27</v>
      </c>
      <c r="G5638">
        <v>2.25</v>
      </c>
      <c r="H5638" t="s">
        <v>106</v>
      </c>
      <c r="I5638" s="1">
        <v>13.15</v>
      </c>
      <c r="J5638" s="1">
        <v>13.03</v>
      </c>
      <c r="K5638" t="s">
        <v>21</v>
      </c>
      <c r="L5638" s="1">
        <v>14.33</v>
      </c>
    </row>
    <row r="5639" spans="1:12">
      <c r="A5639" t="s">
        <v>5608</v>
      </c>
      <c r="B5639">
        <v>484782</v>
      </c>
      <c r="C5639" s="2" t="str">
        <f>"MPW-36"</f>
        <v>MPW-36</v>
      </c>
      <c r="D5639" t="s">
        <v>5750</v>
      </c>
      <c r="E5639" t="s">
        <v>4</v>
      </c>
      <c r="F5639">
        <v>7.26</v>
      </c>
      <c r="G5639">
        <v>1.21</v>
      </c>
      <c r="H5639" t="s">
        <v>20</v>
      </c>
      <c r="I5639" s="1">
        <v>4.6100000000000003</v>
      </c>
      <c r="J5639" s="1">
        <v>4.5599999999999996</v>
      </c>
      <c r="K5639" t="s">
        <v>21</v>
      </c>
      <c r="L5639" s="1">
        <v>5.0199999999999996</v>
      </c>
    </row>
    <row r="5640" spans="1:12">
      <c r="A5640" t="s">
        <v>5608</v>
      </c>
      <c r="B5640">
        <v>484783</v>
      </c>
      <c r="C5640" s="2" t="str">
        <f>"MPW-48"</f>
        <v>MPW-48</v>
      </c>
      <c r="D5640" t="s">
        <v>5751</v>
      </c>
      <c r="E5640" t="s">
        <v>4</v>
      </c>
      <c r="F5640">
        <v>8.8800000000000008</v>
      </c>
      <c r="G5640">
        <v>1.48</v>
      </c>
      <c r="H5640" t="s">
        <v>20</v>
      </c>
      <c r="I5640" s="1">
        <v>5.78</v>
      </c>
      <c r="J5640" s="1">
        <v>5.73</v>
      </c>
      <c r="K5640" t="s">
        <v>21</v>
      </c>
      <c r="L5640" s="1">
        <v>6.3</v>
      </c>
    </row>
    <row r="5641" spans="1:12">
      <c r="A5641" t="s">
        <v>5608</v>
      </c>
      <c r="B5641">
        <v>476377</v>
      </c>
      <c r="C5641" s="2" t="str">
        <f>"MT-AL"</f>
        <v>MT-AL</v>
      </c>
      <c r="D5641" t="s">
        <v>5752</v>
      </c>
      <c r="E5641" t="s">
        <v>4</v>
      </c>
      <c r="F5641">
        <v>12</v>
      </c>
      <c r="G5641">
        <v>1</v>
      </c>
      <c r="H5641" t="s">
        <v>106</v>
      </c>
      <c r="I5641" s="1">
        <v>7.34</v>
      </c>
      <c r="J5641" s="1">
        <v>7.27</v>
      </c>
      <c r="K5641" t="s">
        <v>21</v>
      </c>
      <c r="L5641" s="1">
        <v>8</v>
      </c>
    </row>
    <row r="5642" spans="1:12">
      <c r="A5642" t="s">
        <v>5608</v>
      </c>
      <c r="B5642">
        <v>476378</v>
      </c>
      <c r="C5642" s="2" t="str">
        <f>"ND-7"</f>
        <v>ND-7</v>
      </c>
      <c r="D5642" t="s">
        <v>5753</v>
      </c>
      <c r="E5642" t="s">
        <v>4</v>
      </c>
      <c r="F5642">
        <v>36</v>
      </c>
      <c r="G5642">
        <v>1</v>
      </c>
      <c r="H5642" t="s">
        <v>1397</v>
      </c>
      <c r="I5642" s="1">
        <v>3.68</v>
      </c>
      <c r="J5642" s="1">
        <v>3.65</v>
      </c>
      <c r="K5642" t="s">
        <v>21</v>
      </c>
      <c r="L5642" s="1">
        <v>4.0199999999999996</v>
      </c>
    </row>
    <row r="5643" spans="1:12">
      <c r="A5643" t="s">
        <v>5608</v>
      </c>
      <c r="B5643">
        <v>482382</v>
      </c>
      <c r="C5643" s="2" t="str">
        <f>"PBA-10"</f>
        <v>PBA-10</v>
      </c>
      <c r="D5643" t="s">
        <v>5754</v>
      </c>
      <c r="E5643" t="s">
        <v>4</v>
      </c>
      <c r="F5643">
        <v>0.45</v>
      </c>
      <c r="H5643" t="s">
        <v>5</v>
      </c>
      <c r="I5643" s="1">
        <v>29.76</v>
      </c>
      <c r="J5643" s="1">
        <v>29.48</v>
      </c>
      <c r="K5643" t="s">
        <v>6</v>
      </c>
    </row>
    <row r="5644" spans="1:12">
      <c r="A5644" t="s">
        <v>5608</v>
      </c>
      <c r="B5644">
        <v>493205</v>
      </c>
      <c r="C5644" s="2" t="str">
        <f>"PBA-20"</f>
        <v>PBA-20</v>
      </c>
      <c r="D5644" t="s">
        <v>5755</v>
      </c>
      <c r="E5644" t="s">
        <v>4</v>
      </c>
      <c r="F5644">
        <v>4.5999999999999996</v>
      </c>
      <c r="H5644" t="s">
        <v>5</v>
      </c>
      <c r="I5644" s="1">
        <v>16.41</v>
      </c>
      <c r="J5644" s="1">
        <v>16.260000000000002</v>
      </c>
      <c r="K5644" t="s">
        <v>6</v>
      </c>
    </row>
    <row r="5645" spans="1:12">
      <c r="A5645" t="s">
        <v>5608</v>
      </c>
      <c r="B5645">
        <v>552866</v>
      </c>
      <c r="C5645" s="2" t="str">
        <f>"PC-1/RT"</f>
        <v>PC-1/RT</v>
      </c>
      <c r="D5645" t="s">
        <v>5756</v>
      </c>
      <c r="E5645" t="s">
        <v>4</v>
      </c>
      <c r="F5645">
        <v>0.04</v>
      </c>
      <c r="G5645">
        <v>0.02</v>
      </c>
      <c r="H5645" t="s">
        <v>175</v>
      </c>
      <c r="I5645" s="1">
        <v>25.15</v>
      </c>
      <c r="J5645" s="1">
        <v>24.92</v>
      </c>
      <c r="K5645" t="s">
        <v>21</v>
      </c>
      <c r="L5645" s="1">
        <v>27.41</v>
      </c>
    </row>
    <row r="5646" spans="1:12">
      <c r="A5646" t="s">
        <v>5608</v>
      </c>
      <c r="B5646">
        <v>476385</v>
      </c>
      <c r="C5646" s="2" t="str">
        <f>"PC-4"</f>
        <v>PC-4</v>
      </c>
      <c r="D5646" t="s">
        <v>5757</v>
      </c>
      <c r="E5646" t="s">
        <v>4</v>
      </c>
      <c r="F5646">
        <v>4.5599999999999996</v>
      </c>
      <c r="G5646">
        <v>0.38</v>
      </c>
      <c r="H5646" t="s">
        <v>106</v>
      </c>
      <c r="I5646" s="1">
        <v>2.13</v>
      </c>
      <c r="J5646" s="1">
        <v>2.11</v>
      </c>
      <c r="K5646" t="s">
        <v>21</v>
      </c>
      <c r="L5646" s="1">
        <v>2.3199999999999998</v>
      </c>
    </row>
    <row r="5647" spans="1:12">
      <c r="A5647" t="s">
        <v>5608</v>
      </c>
      <c r="B5647">
        <v>476386</v>
      </c>
      <c r="C5647" s="2" t="str">
        <f>"PC-4WH"</f>
        <v>PC-4WH</v>
      </c>
      <c r="D5647" t="s">
        <v>5758</v>
      </c>
      <c r="E5647" t="s">
        <v>4</v>
      </c>
      <c r="F5647">
        <v>5.52</v>
      </c>
      <c r="G5647">
        <v>0.46</v>
      </c>
      <c r="H5647" t="s">
        <v>106</v>
      </c>
      <c r="I5647" s="1">
        <v>2.65</v>
      </c>
      <c r="J5647" s="1">
        <v>2.63</v>
      </c>
      <c r="K5647" t="s">
        <v>21</v>
      </c>
      <c r="L5647" s="1">
        <v>2.89</v>
      </c>
    </row>
    <row r="5648" spans="1:12">
      <c r="A5648" t="s">
        <v>5608</v>
      </c>
      <c r="B5648">
        <v>486744</v>
      </c>
      <c r="C5648" s="2" t="str">
        <f>"PCD-13"</f>
        <v>PCD-13</v>
      </c>
      <c r="D5648" t="s">
        <v>5759</v>
      </c>
      <c r="E5648" t="s">
        <v>4</v>
      </c>
      <c r="F5648">
        <v>2.2999999999999998</v>
      </c>
      <c r="H5648" t="s">
        <v>5</v>
      </c>
      <c r="I5648" s="1">
        <v>78.64</v>
      </c>
      <c r="J5648" s="1">
        <v>77.92</v>
      </c>
      <c r="K5648" t="s">
        <v>6</v>
      </c>
    </row>
    <row r="5649" spans="1:12">
      <c r="A5649" t="s">
        <v>5608</v>
      </c>
      <c r="B5649">
        <v>481088</v>
      </c>
      <c r="C5649" s="2" t="str">
        <f>"PCD-13/SS"</f>
        <v>PCD-13/SS</v>
      </c>
      <c r="D5649" t="s">
        <v>5760</v>
      </c>
      <c r="E5649" t="s">
        <v>4</v>
      </c>
      <c r="F5649">
        <v>2</v>
      </c>
      <c r="H5649" t="s">
        <v>5</v>
      </c>
      <c r="I5649" s="1">
        <v>84.31</v>
      </c>
      <c r="J5649" s="1">
        <v>83.54</v>
      </c>
      <c r="K5649" t="s">
        <v>6</v>
      </c>
    </row>
    <row r="5650" spans="1:12">
      <c r="A5650" t="s">
        <v>5608</v>
      </c>
      <c r="B5650">
        <v>476388</v>
      </c>
      <c r="C5650" s="2" t="str">
        <f>"PCD-STD"</f>
        <v>PCD-STD</v>
      </c>
      <c r="D5650" t="s">
        <v>5761</v>
      </c>
      <c r="E5650" t="s">
        <v>4</v>
      </c>
      <c r="F5650">
        <v>3</v>
      </c>
      <c r="G5650">
        <v>0.5</v>
      </c>
      <c r="H5650" t="s">
        <v>20</v>
      </c>
      <c r="I5650" s="1">
        <v>3.54</v>
      </c>
      <c r="J5650" s="1">
        <v>3.51</v>
      </c>
      <c r="K5650" t="s">
        <v>21</v>
      </c>
      <c r="L5650" s="1">
        <v>3.86</v>
      </c>
    </row>
    <row r="5651" spans="1:12">
      <c r="A5651" t="s">
        <v>5608</v>
      </c>
      <c r="B5651">
        <v>493206</v>
      </c>
      <c r="C5651" s="2" t="str">
        <f>"PCT-12BK"</f>
        <v>PCT-12BK</v>
      </c>
      <c r="D5651" t="s">
        <v>5762</v>
      </c>
      <c r="E5651" t="s">
        <v>4</v>
      </c>
      <c r="F5651">
        <v>3.96</v>
      </c>
      <c r="G5651">
        <v>0.33</v>
      </c>
      <c r="H5651" t="s">
        <v>106</v>
      </c>
      <c r="I5651" s="1">
        <v>1.08</v>
      </c>
      <c r="J5651" s="1">
        <v>1.07</v>
      </c>
      <c r="K5651" t="s">
        <v>457</v>
      </c>
      <c r="L5651" s="1">
        <v>1.17</v>
      </c>
    </row>
    <row r="5652" spans="1:12">
      <c r="A5652" t="s">
        <v>5608</v>
      </c>
      <c r="B5652">
        <v>482383</v>
      </c>
      <c r="C5652" s="2" t="str">
        <f>"PCT-9BK"</f>
        <v>PCT-9BK</v>
      </c>
      <c r="D5652" t="s">
        <v>5763</v>
      </c>
      <c r="E5652" t="s">
        <v>4</v>
      </c>
      <c r="F5652">
        <v>2.64</v>
      </c>
      <c r="G5652">
        <v>0.22</v>
      </c>
      <c r="H5652" t="s">
        <v>106</v>
      </c>
      <c r="I5652" s="1">
        <v>0.71</v>
      </c>
      <c r="J5652" s="1">
        <v>0.7</v>
      </c>
      <c r="K5652" t="s">
        <v>21</v>
      </c>
      <c r="L5652" s="1">
        <v>0.77</v>
      </c>
    </row>
    <row r="5653" spans="1:12">
      <c r="A5653" t="s">
        <v>5608</v>
      </c>
      <c r="B5653">
        <v>476389</v>
      </c>
      <c r="C5653" s="2" t="str">
        <f>"PG1018"</f>
        <v>PG1018</v>
      </c>
      <c r="D5653" t="s">
        <v>5764</v>
      </c>
      <c r="E5653" t="s">
        <v>4</v>
      </c>
      <c r="F5653">
        <v>14.04</v>
      </c>
      <c r="G5653">
        <v>1.17</v>
      </c>
      <c r="H5653" t="s">
        <v>106</v>
      </c>
      <c r="I5653" s="1">
        <v>2.39</v>
      </c>
      <c r="J5653" s="1">
        <v>2.37</v>
      </c>
      <c r="K5653" t="s">
        <v>21</v>
      </c>
      <c r="L5653" s="1">
        <v>2.61</v>
      </c>
    </row>
    <row r="5654" spans="1:12">
      <c r="A5654" t="s">
        <v>5608</v>
      </c>
      <c r="B5654">
        <v>476390</v>
      </c>
      <c r="C5654" s="2" t="str">
        <f>"PG510"</f>
        <v>PG510</v>
      </c>
      <c r="D5654" t="s">
        <v>5765</v>
      </c>
      <c r="E5654" t="s">
        <v>4</v>
      </c>
      <c r="F5654">
        <v>5.52</v>
      </c>
      <c r="G5654">
        <v>0.46</v>
      </c>
      <c r="H5654" t="s">
        <v>106</v>
      </c>
      <c r="I5654" s="1">
        <v>1.02</v>
      </c>
      <c r="J5654" s="1">
        <v>1.01</v>
      </c>
      <c r="K5654" t="s">
        <v>21</v>
      </c>
      <c r="L5654" s="1">
        <v>1.1100000000000001</v>
      </c>
    </row>
    <row r="5655" spans="1:12">
      <c r="A5655" t="s">
        <v>5608</v>
      </c>
      <c r="B5655">
        <v>476391</v>
      </c>
      <c r="C5655" s="2" t="str">
        <f>"PG810"</f>
        <v>PG810</v>
      </c>
      <c r="D5655" t="s">
        <v>5766</v>
      </c>
      <c r="E5655" t="s">
        <v>4</v>
      </c>
      <c r="F5655">
        <v>7.44</v>
      </c>
      <c r="G5655">
        <v>0.62</v>
      </c>
      <c r="H5655" t="s">
        <v>106</v>
      </c>
      <c r="I5655" s="1">
        <v>1.45</v>
      </c>
      <c r="J5655" s="1">
        <v>1.43</v>
      </c>
      <c r="K5655" t="s">
        <v>21</v>
      </c>
      <c r="L5655" s="1">
        <v>1.58</v>
      </c>
    </row>
    <row r="5656" spans="1:12">
      <c r="A5656" t="s">
        <v>5608</v>
      </c>
      <c r="B5656">
        <v>476392</v>
      </c>
      <c r="C5656" s="2" t="str">
        <f>"PGRIP(D)"</f>
        <v>PGRIP(D)</v>
      </c>
      <c r="D5656" t="s">
        <v>5767</v>
      </c>
      <c r="E5656" t="s">
        <v>4</v>
      </c>
      <c r="F5656">
        <v>18</v>
      </c>
      <c r="G5656">
        <v>3</v>
      </c>
      <c r="H5656" t="s">
        <v>20</v>
      </c>
      <c r="I5656" s="1">
        <v>2.0499999999999998</v>
      </c>
      <c r="J5656" s="1">
        <v>2.04</v>
      </c>
      <c r="K5656" t="s">
        <v>21</v>
      </c>
      <c r="L5656" s="1">
        <v>2.2400000000000002</v>
      </c>
    </row>
    <row r="5657" spans="1:12">
      <c r="A5657" t="s">
        <v>5608</v>
      </c>
      <c r="B5657">
        <v>476393</v>
      </c>
      <c r="C5657" s="2" t="str">
        <f>"PGRIP(S)"</f>
        <v>PGRIP(S)</v>
      </c>
      <c r="D5657" t="s">
        <v>5768</v>
      </c>
      <c r="E5657" t="s">
        <v>4</v>
      </c>
      <c r="F5657">
        <v>18</v>
      </c>
      <c r="G5657">
        <v>3</v>
      </c>
      <c r="H5657" t="s">
        <v>20</v>
      </c>
      <c r="I5657" s="1">
        <v>1.88</v>
      </c>
      <c r="J5657" s="1">
        <v>1.87</v>
      </c>
      <c r="K5657" t="s">
        <v>21</v>
      </c>
      <c r="L5657" s="1">
        <v>2.0499999999999998</v>
      </c>
    </row>
    <row r="5658" spans="1:12">
      <c r="A5658" t="s">
        <v>5608</v>
      </c>
      <c r="B5658">
        <v>483909</v>
      </c>
      <c r="C5658" s="2" t="str">
        <f>"PIB-20"</f>
        <v>PIB-20</v>
      </c>
      <c r="D5658" t="s">
        <v>5769</v>
      </c>
      <c r="E5658" t="s">
        <v>4</v>
      </c>
      <c r="F5658">
        <v>16.32</v>
      </c>
      <c r="G5658">
        <v>2.72</v>
      </c>
      <c r="H5658" t="s">
        <v>20</v>
      </c>
      <c r="I5658" s="1">
        <v>16.989999999999998</v>
      </c>
      <c r="J5658" s="1">
        <v>16.829999999999998</v>
      </c>
      <c r="K5658" t="s">
        <v>21</v>
      </c>
      <c r="L5658" s="1">
        <v>18.52</v>
      </c>
    </row>
    <row r="5659" spans="1:12">
      <c r="A5659" t="s">
        <v>5608</v>
      </c>
      <c r="B5659">
        <v>553872</v>
      </c>
      <c r="C5659" s="2" t="str">
        <f>"PM-100"</f>
        <v>PM-100</v>
      </c>
      <c r="D5659" t="s">
        <v>5770</v>
      </c>
      <c r="E5659" t="s">
        <v>4</v>
      </c>
      <c r="F5659">
        <v>21</v>
      </c>
      <c r="G5659">
        <v>1.75</v>
      </c>
      <c r="H5659" t="s">
        <v>106</v>
      </c>
      <c r="I5659" s="1">
        <v>27.56</v>
      </c>
      <c r="J5659" s="1">
        <v>27.31</v>
      </c>
      <c r="K5659" t="s">
        <v>21</v>
      </c>
      <c r="L5659" s="1">
        <v>30.04</v>
      </c>
    </row>
    <row r="5660" spans="1:12">
      <c r="A5660" t="s">
        <v>5608</v>
      </c>
      <c r="B5660">
        <v>476394</v>
      </c>
      <c r="C5660" s="2" t="str">
        <f>"PMRD-24"</f>
        <v>PMRD-24</v>
      </c>
      <c r="D5660" t="s">
        <v>5771</v>
      </c>
      <c r="E5660" t="s">
        <v>4</v>
      </c>
      <c r="F5660">
        <v>10.92</v>
      </c>
      <c r="G5660">
        <v>0.91</v>
      </c>
      <c r="H5660" t="s">
        <v>106</v>
      </c>
      <c r="I5660" s="1">
        <v>3.8</v>
      </c>
      <c r="J5660" s="1">
        <v>3.76</v>
      </c>
      <c r="K5660" t="s">
        <v>21</v>
      </c>
      <c r="L5660" s="1">
        <v>4.1399999999999997</v>
      </c>
    </row>
    <row r="5661" spans="1:12">
      <c r="A5661" t="s">
        <v>5608</v>
      </c>
      <c r="B5661">
        <v>476395</v>
      </c>
      <c r="C5661" s="2" t="str">
        <f>"PMSQ-18"</f>
        <v>PMSQ-18</v>
      </c>
      <c r="D5661" t="s">
        <v>5772</v>
      </c>
      <c r="E5661" t="s">
        <v>4</v>
      </c>
      <c r="F5661">
        <v>10.56</v>
      </c>
      <c r="G5661">
        <v>0.88</v>
      </c>
      <c r="H5661" t="s">
        <v>106</v>
      </c>
      <c r="I5661" s="1">
        <v>2.54</v>
      </c>
      <c r="J5661" s="1">
        <v>2.5099999999999998</v>
      </c>
      <c r="K5661" t="s">
        <v>21</v>
      </c>
      <c r="L5661" s="1">
        <v>2.76</v>
      </c>
    </row>
    <row r="5662" spans="1:12">
      <c r="A5662" t="s">
        <v>5608</v>
      </c>
      <c r="B5662">
        <v>555283</v>
      </c>
      <c r="C5662" s="2" t="str">
        <f>"POR-BK"</f>
        <v>POR-BK</v>
      </c>
      <c r="D5662" t="s">
        <v>5773</v>
      </c>
      <c r="E5662" t="s">
        <v>4</v>
      </c>
      <c r="F5662">
        <v>1.9</v>
      </c>
      <c r="H5662" t="s">
        <v>5</v>
      </c>
      <c r="I5662" s="1">
        <v>15.3</v>
      </c>
      <c r="J5662" s="1">
        <v>15.16</v>
      </c>
      <c r="K5662" t="s">
        <v>6</v>
      </c>
    </row>
    <row r="5663" spans="1:12">
      <c r="A5663" t="s">
        <v>5608</v>
      </c>
      <c r="B5663">
        <v>556102</v>
      </c>
      <c r="C5663" s="2" t="str">
        <f>"POR-MC"</f>
        <v>POR-MC</v>
      </c>
      <c r="D5663" t="s">
        <v>5774</v>
      </c>
      <c r="E5663" t="s">
        <v>4</v>
      </c>
      <c r="F5663">
        <v>0.41</v>
      </c>
      <c r="H5663" t="s">
        <v>5</v>
      </c>
      <c r="I5663" s="1">
        <v>8.9</v>
      </c>
      <c r="J5663" s="1">
        <v>8.82</v>
      </c>
      <c r="K5663" t="s">
        <v>6</v>
      </c>
    </row>
    <row r="5664" spans="1:12">
      <c r="A5664" t="s">
        <v>5608</v>
      </c>
      <c r="B5664">
        <v>552868</v>
      </c>
      <c r="C5664" s="2" t="str">
        <f>"POR-MT"</f>
        <v>POR-MT</v>
      </c>
      <c r="D5664" t="s">
        <v>5775</v>
      </c>
      <c r="E5664" t="s">
        <v>4</v>
      </c>
      <c r="F5664">
        <v>20</v>
      </c>
      <c r="G5664">
        <v>0.8</v>
      </c>
      <c r="H5664" t="s">
        <v>4328</v>
      </c>
      <c r="I5664" s="1">
        <v>8.1199999999999992</v>
      </c>
      <c r="J5664" s="1">
        <v>8.0399999999999991</v>
      </c>
      <c r="K5664" t="s">
        <v>1274</v>
      </c>
      <c r="L5664" s="1">
        <v>8.85</v>
      </c>
    </row>
    <row r="5665" spans="1:12">
      <c r="A5665" t="s">
        <v>5608</v>
      </c>
      <c r="B5665">
        <v>504143</v>
      </c>
      <c r="C5665" s="2" t="str">
        <f>"POR-RD"</f>
        <v>POR-RD</v>
      </c>
      <c r="D5665" t="s">
        <v>5776</v>
      </c>
      <c r="E5665" t="s">
        <v>4</v>
      </c>
      <c r="F5665">
        <v>2</v>
      </c>
      <c r="H5665" t="s">
        <v>5</v>
      </c>
      <c r="I5665" s="1">
        <v>15.3</v>
      </c>
      <c r="J5665" s="1">
        <v>15.16</v>
      </c>
      <c r="K5665" t="s">
        <v>6</v>
      </c>
    </row>
    <row r="5666" spans="1:12">
      <c r="A5666" t="s">
        <v>5608</v>
      </c>
      <c r="B5666">
        <v>476397</v>
      </c>
      <c r="C5666" s="2" t="str">
        <f>"PR-6BC"</f>
        <v>PR-6BC</v>
      </c>
      <c r="D5666" t="s">
        <v>5777</v>
      </c>
      <c r="E5666" t="s">
        <v>4</v>
      </c>
      <c r="F5666">
        <v>1.44</v>
      </c>
      <c r="G5666">
        <v>0.06</v>
      </c>
      <c r="H5666" t="s">
        <v>666</v>
      </c>
      <c r="I5666" s="1">
        <v>0.62</v>
      </c>
      <c r="J5666" s="1">
        <v>0.62</v>
      </c>
      <c r="K5666" t="s">
        <v>21</v>
      </c>
      <c r="L5666" s="1">
        <v>0.68</v>
      </c>
    </row>
    <row r="5667" spans="1:12">
      <c r="A5667" t="s">
        <v>5608</v>
      </c>
      <c r="B5667">
        <v>476398</v>
      </c>
      <c r="C5667" s="2" t="str">
        <f>"PR-6C"</f>
        <v>PR-6C</v>
      </c>
      <c r="D5667" t="s">
        <v>5777</v>
      </c>
      <c r="E5667" t="s">
        <v>4</v>
      </c>
      <c r="F5667">
        <v>1.44</v>
      </c>
      <c r="G5667">
        <v>0.06</v>
      </c>
      <c r="H5667" t="s">
        <v>666</v>
      </c>
      <c r="I5667" s="1">
        <v>0.68</v>
      </c>
      <c r="J5667" s="1">
        <v>0.67</v>
      </c>
      <c r="K5667" t="s">
        <v>21</v>
      </c>
      <c r="L5667" s="1">
        <v>0.74</v>
      </c>
    </row>
    <row r="5668" spans="1:12">
      <c r="A5668" t="s">
        <v>5608</v>
      </c>
      <c r="B5668">
        <v>476400</v>
      </c>
      <c r="C5668" s="2" t="str">
        <f>"PS-08"</f>
        <v>PS-08</v>
      </c>
      <c r="D5668" t="s">
        <v>5778</v>
      </c>
      <c r="E5668" t="s">
        <v>4</v>
      </c>
      <c r="F5668">
        <v>1.8</v>
      </c>
      <c r="G5668">
        <v>0.15</v>
      </c>
      <c r="H5668" t="s">
        <v>106</v>
      </c>
      <c r="I5668" s="1">
        <v>1.23</v>
      </c>
      <c r="J5668" s="1">
        <v>1.22</v>
      </c>
      <c r="K5668" t="s">
        <v>21</v>
      </c>
      <c r="L5668" s="1">
        <v>1.34</v>
      </c>
    </row>
    <row r="5669" spans="1:12">
      <c r="A5669" t="s">
        <v>5608</v>
      </c>
      <c r="B5669">
        <v>476295</v>
      </c>
      <c r="C5669" s="2" t="str">
        <f>"PS-09"</f>
        <v>PS-09</v>
      </c>
      <c r="D5669" t="s">
        <v>5779</v>
      </c>
      <c r="E5669" t="s">
        <v>4</v>
      </c>
      <c r="F5669">
        <v>2.16</v>
      </c>
      <c r="G5669">
        <v>0.18</v>
      </c>
      <c r="H5669" t="s">
        <v>106</v>
      </c>
      <c r="I5669" s="1">
        <v>1.45</v>
      </c>
      <c r="J5669" s="1">
        <v>1.43</v>
      </c>
      <c r="K5669" t="s">
        <v>21</v>
      </c>
      <c r="L5669" s="1">
        <v>1.58</v>
      </c>
    </row>
    <row r="5670" spans="1:12">
      <c r="A5670" t="s">
        <v>5608</v>
      </c>
      <c r="B5670">
        <v>476401</v>
      </c>
      <c r="C5670" s="2" t="str">
        <f>"PS-10"</f>
        <v>PS-10</v>
      </c>
      <c r="D5670" t="s">
        <v>5780</v>
      </c>
      <c r="E5670" t="s">
        <v>4</v>
      </c>
      <c r="F5670">
        <v>2.2799999999999998</v>
      </c>
      <c r="G5670">
        <v>0.19</v>
      </c>
      <c r="H5670" t="s">
        <v>106</v>
      </c>
      <c r="I5670" s="1">
        <v>1.53</v>
      </c>
      <c r="J5670" s="1">
        <v>1.52</v>
      </c>
      <c r="K5670" t="s">
        <v>21</v>
      </c>
      <c r="L5670" s="1">
        <v>1.67</v>
      </c>
    </row>
    <row r="5671" spans="1:12">
      <c r="A5671" t="s">
        <v>5608</v>
      </c>
      <c r="B5671">
        <v>476296</v>
      </c>
      <c r="C5671" s="2" t="str">
        <f>"PS-11"</f>
        <v>PS-11</v>
      </c>
      <c r="D5671" t="s">
        <v>5781</v>
      </c>
      <c r="E5671" t="s">
        <v>4</v>
      </c>
      <c r="F5671">
        <v>2.64</v>
      </c>
      <c r="G5671">
        <v>0.22</v>
      </c>
      <c r="H5671" t="s">
        <v>106</v>
      </c>
      <c r="I5671" s="1">
        <v>1.74</v>
      </c>
      <c r="J5671" s="1">
        <v>1.73</v>
      </c>
      <c r="K5671" t="s">
        <v>21</v>
      </c>
      <c r="L5671" s="1">
        <v>1.9</v>
      </c>
    </row>
    <row r="5672" spans="1:12">
      <c r="A5672" t="s">
        <v>5608</v>
      </c>
      <c r="B5672">
        <v>476297</v>
      </c>
      <c r="C5672" s="2" t="str">
        <f>"PS-12"</f>
        <v>PS-12</v>
      </c>
      <c r="D5672" t="s">
        <v>5782</v>
      </c>
      <c r="E5672" t="s">
        <v>4</v>
      </c>
      <c r="F5672">
        <v>3</v>
      </c>
      <c r="G5672">
        <v>0.25</v>
      </c>
      <c r="H5672" t="s">
        <v>106</v>
      </c>
      <c r="I5672" s="1">
        <v>1.87</v>
      </c>
      <c r="J5672" s="1">
        <v>1.85</v>
      </c>
      <c r="K5672" t="s">
        <v>21</v>
      </c>
      <c r="L5672" s="1">
        <v>2.04</v>
      </c>
    </row>
    <row r="5673" spans="1:12">
      <c r="A5673" t="s">
        <v>5608</v>
      </c>
      <c r="B5673">
        <v>476402</v>
      </c>
      <c r="C5673" s="2" t="str">
        <f>"PS-13"</f>
        <v>PS-13</v>
      </c>
      <c r="D5673" t="s">
        <v>5783</v>
      </c>
      <c r="E5673" t="s">
        <v>4</v>
      </c>
      <c r="F5673">
        <v>3</v>
      </c>
      <c r="G5673">
        <v>0.25</v>
      </c>
      <c r="H5673" t="s">
        <v>106</v>
      </c>
      <c r="I5673" s="1">
        <v>2.14</v>
      </c>
      <c r="J5673" s="1">
        <v>2.12</v>
      </c>
      <c r="K5673" t="s">
        <v>21</v>
      </c>
      <c r="L5673" s="1">
        <v>2.33</v>
      </c>
    </row>
    <row r="5674" spans="1:12">
      <c r="A5674" t="s">
        <v>5608</v>
      </c>
      <c r="B5674">
        <v>476298</v>
      </c>
      <c r="C5674" s="2" t="str">
        <f>"PS-14"</f>
        <v>PS-14</v>
      </c>
      <c r="D5674" t="s">
        <v>5784</v>
      </c>
      <c r="E5674" t="s">
        <v>4</v>
      </c>
      <c r="F5674">
        <v>3.84</v>
      </c>
      <c r="G5674">
        <v>0.32</v>
      </c>
      <c r="H5674" t="s">
        <v>106</v>
      </c>
      <c r="I5674" s="1">
        <v>2.39</v>
      </c>
      <c r="J5674" s="1">
        <v>2.37</v>
      </c>
      <c r="K5674" t="s">
        <v>21</v>
      </c>
      <c r="L5674" s="1">
        <v>2.61</v>
      </c>
    </row>
    <row r="5675" spans="1:12">
      <c r="A5675" t="s">
        <v>5608</v>
      </c>
      <c r="B5675">
        <v>476299</v>
      </c>
      <c r="C5675" s="2" t="str">
        <f>"PS-15"</f>
        <v>PS-15</v>
      </c>
      <c r="D5675" t="s">
        <v>5785</v>
      </c>
      <c r="E5675" t="s">
        <v>4</v>
      </c>
      <c r="F5675">
        <v>4.5599999999999996</v>
      </c>
      <c r="G5675">
        <v>0.38</v>
      </c>
      <c r="H5675" t="s">
        <v>106</v>
      </c>
      <c r="I5675" s="1">
        <v>2.58</v>
      </c>
      <c r="J5675" s="1">
        <v>2.56</v>
      </c>
      <c r="K5675" t="s">
        <v>21</v>
      </c>
      <c r="L5675" s="1">
        <v>2.81</v>
      </c>
    </row>
    <row r="5676" spans="1:12">
      <c r="A5676" t="s">
        <v>5608</v>
      </c>
      <c r="B5676">
        <v>476300</v>
      </c>
      <c r="C5676" s="2" t="str">
        <f>"PS-16"</f>
        <v>PS-16</v>
      </c>
      <c r="D5676" t="s">
        <v>5786</v>
      </c>
      <c r="E5676" t="s">
        <v>4</v>
      </c>
      <c r="F5676">
        <v>4.5599999999999996</v>
      </c>
      <c r="G5676">
        <v>0.38</v>
      </c>
      <c r="H5676" t="s">
        <v>106</v>
      </c>
      <c r="I5676" s="1">
        <v>2.85</v>
      </c>
      <c r="J5676" s="1">
        <v>2.82</v>
      </c>
      <c r="K5676" t="s">
        <v>21</v>
      </c>
      <c r="L5676" s="1">
        <v>3.1</v>
      </c>
    </row>
    <row r="5677" spans="1:12">
      <c r="A5677" t="s">
        <v>5608</v>
      </c>
      <c r="B5677">
        <v>476403</v>
      </c>
      <c r="C5677" s="2" t="str">
        <f>"PS-17"</f>
        <v>PS-17</v>
      </c>
      <c r="D5677" t="s">
        <v>5787</v>
      </c>
      <c r="E5677" t="s">
        <v>4</v>
      </c>
      <c r="F5677">
        <v>5.28</v>
      </c>
      <c r="G5677">
        <v>0.44</v>
      </c>
      <c r="H5677" t="s">
        <v>106</v>
      </c>
      <c r="I5677" s="1">
        <v>3.12</v>
      </c>
      <c r="J5677" s="1">
        <v>3.09</v>
      </c>
      <c r="K5677" t="s">
        <v>21</v>
      </c>
      <c r="L5677" s="1">
        <v>3.4</v>
      </c>
    </row>
    <row r="5678" spans="1:12">
      <c r="A5678" t="s">
        <v>5608</v>
      </c>
      <c r="B5678">
        <v>476404</v>
      </c>
      <c r="C5678" s="2" t="str">
        <f>"PS-18"</f>
        <v>PS-18</v>
      </c>
      <c r="D5678" t="s">
        <v>5788</v>
      </c>
      <c r="E5678" t="s">
        <v>4</v>
      </c>
      <c r="F5678">
        <v>5.28</v>
      </c>
      <c r="G5678">
        <v>0.44</v>
      </c>
      <c r="H5678" t="s">
        <v>106</v>
      </c>
      <c r="I5678" s="1">
        <v>3.37</v>
      </c>
      <c r="J5678" s="1">
        <v>3.34</v>
      </c>
      <c r="K5678" t="s">
        <v>21</v>
      </c>
      <c r="L5678" s="1">
        <v>3.68</v>
      </c>
    </row>
    <row r="5679" spans="1:12">
      <c r="A5679" t="s">
        <v>5608</v>
      </c>
      <c r="B5679">
        <v>476405</v>
      </c>
      <c r="C5679" s="2" t="str">
        <f>"PSA-10"</f>
        <v>PSA-10</v>
      </c>
      <c r="D5679" t="s">
        <v>5789</v>
      </c>
      <c r="E5679" t="s">
        <v>4</v>
      </c>
      <c r="F5679">
        <v>10.56</v>
      </c>
      <c r="G5679">
        <v>0.88</v>
      </c>
      <c r="H5679" t="s">
        <v>106</v>
      </c>
      <c r="I5679" s="1">
        <v>7.84</v>
      </c>
      <c r="J5679" s="1">
        <v>7.76</v>
      </c>
      <c r="K5679" t="s">
        <v>21</v>
      </c>
      <c r="L5679" s="1">
        <v>8.5399999999999991</v>
      </c>
    </row>
    <row r="5680" spans="1:12">
      <c r="A5680" t="s">
        <v>5608</v>
      </c>
      <c r="B5680">
        <v>476408</v>
      </c>
      <c r="C5680" s="2" t="str">
        <f>"PTN4/1-100"</f>
        <v>PTN4/1-100</v>
      </c>
      <c r="D5680" t="s">
        <v>5790</v>
      </c>
      <c r="E5680" t="s">
        <v>4</v>
      </c>
      <c r="F5680">
        <v>44</v>
      </c>
      <c r="G5680">
        <v>0.88</v>
      </c>
      <c r="H5680" t="s">
        <v>4309</v>
      </c>
      <c r="I5680" s="1">
        <v>6.94</v>
      </c>
      <c r="J5680" s="1">
        <v>6.88</v>
      </c>
      <c r="K5680" t="s">
        <v>21</v>
      </c>
      <c r="L5680" s="1">
        <v>7.57</v>
      </c>
    </row>
    <row r="5681" spans="1:12">
      <c r="A5681" t="s">
        <v>5608</v>
      </c>
      <c r="B5681">
        <v>481089</v>
      </c>
      <c r="C5681" s="2" t="str">
        <f>"PTR-15"</f>
        <v>PTR-15</v>
      </c>
      <c r="D5681" t="s">
        <v>5791</v>
      </c>
      <c r="E5681" t="s">
        <v>4</v>
      </c>
      <c r="F5681">
        <v>7.16</v>
      </c>
      <c r="H5681" t="s">
        <v>5</v>
      </c>
      <c r="I5681" s="1">
        <v>19.809999999999999</v>
      </c>
      <c r="J5681" s="1">
        <v>19.63</v>
      </c>
      <c r="K5681" t="s">
        <v>6</v>
      </c>
    </row>
    <row r="5682" spans="1:12">
      <c r="A5682" t="s">
        <v>5608</v>
      </c>
      <c r="B5682">
        <v>476410</v>
      </c>
      <c r="C5682" s="2" t="str">
        <f>"PTS-9"</f>
        <v>PTS-9</v>
      </c>
      <c r="D5682" t="s">
        <v>5792</v>
      </c>
      <c r="E5682" t="s">
        <v>4</v>
      </c>
      <c r="F5682">
        <v>13.2</v>
      </c>
      <c r="G5682">
        <v>1.1000000000000001</v>
      </c>
      <c r="H5682" t="s">
        <v>106</v>
      </c>
      <c r="I5682" s="1">
        <v>2.81</v>
      </c>
      <c r="J5682" s="1">
        <v>2.78</v>
      </c>
      <c r="K5682" t="s">
        <v>21</v>
      </c>
      <c r="L5682" s="1">
        <v>3.06</v>
      </c>
    </row>
    <row r="5683" spans="1:12">
      <c r="A5683" t="s">
        <v>5608</v>
      </c>
      <c r="B5683">
        <v>476290</v>
      </c>
      <c r="C5683" s="2" t="str">
        <f>"PT-WR11"</f>
        <v>PT-WR11</v>
      </c>
      <c r="D5683" t="s">
        <v>5793</v>
      </c>
      <c r="E5683" t="s">
        <v>4</v>
      </c>
      <c r="F5683">
        <v>4.92</v>
      </c>
      <c r="G5683">
        <v>0.41</v>
      </c>
      <c r="H5683" t="s">
        <v>106</v>
      </c>
      <c r="I5683" s="1">
        <v>2.0099999999999998</v>
      </c>
      <c r="J5683" s="1">
        <v>1.99</v>
      </c>
      <c r="K5683" t="s">
        <v>21</v>
      </c>
      <c r="L5683" s="1">
        <v>2.19</v>
      </c>
    </row>
    <row r="5684" spans="1:12">
      <c r="A5684" t="s">
        <v>5608</v>
      </c>
      <c r="B5684">
        <v>476291</v>
      </c>
      <c r="C5684" s="2" t="str">
        <f>"PT-WR12"</f>
        <v>PT-WR12</v>
      </c>
      <c r="D5684" t="s">
        <v>5794</v>
      </c>
      <c r="E5684" t="s">
        <v>4</v>
      </c>
      <c r="F5684">
        <v>5.4</v>
      </c>
      <c r="G5684">
        <v>0.45</v>
      </c>
      <c r="H5684" t="s">
        <v>106</v>
      </c>
      <c r="I5684" s="1">
        <v>2.25</v>
      </c>
      <c r="J5684" s="1">
        <v>2.23</v>
      </c>
      <c r="K5684" t="s">
        <v>21</v>
      </c>
      <c r="L5684" s="1">
        <v>2.46</v>
      </c>
    </row>
    <row r="5685" spans="1:12">
      <c r="A5685" t="s">
        <v>5608</v>
      </c>
      <c r="B5685">
        <v>476292</v>
      </c>
      <c r="C5685" s="2" t="str">
        <f>"PT-WR13"</f>
        <v>PT-WR13</v>
      </c>
      <c r="D5685" t="s">
        <v>5795</v>
      </c>
      <c r="E5685" t="s">
        <v>4</v>
      </c>
      <c r="F5685">
        <v>6</v>
      </c>
      <c r="G5685">
        <v>0.5</v>
      </c>
      <c r="H5685" t="s">
        <v>106</v>
      </c>
      <c r="I5685" s="1">
        <v>2.56</v>
      </c>
      <c r="J5685" s="1">
        <v>2.54</v>
      </c>
      <c r="K5685" t="s">
        <v>21</v>
      </c>
      <c r="L5685" s="1">
        <v>2.8</v>
      </c>
    </row>
    <row r="5686" spans="1:12">
      <c r="A5686" t="s">
        <v>5608</v>
      </c>
      <c r="B5686">
        <v>476293</v>
      </c>
      <c r="C5686" s="2" t="str">
        <f>"PT-WR14"</f>
        <v>PT-WR14</v>
      </c>
      <c r="D5686" t="s">
        <v>5796</v>
      </c>
      <c r="E5686" t="s">
        <v>4</v>
      </c>
      <c r="F5686">
        <v>7.56</v>
      </c>
      <c r="G5686">
        <v>0.63</v>
      </c>
      <c r="H5686" t="s">
        <v>106</v>
      </c>
      <c r="I5686" s="1">
        <v>2.93</v>
      </c>
      <c r="J5686" s="1">
        <v>2.91</v>
      </c>
      <c r="K5686" t="s">
        <v>21</v>
      </c>
      <c r="L5686" s="1">
        <v>3.2</v>
      </c>
    </row>
    <row r="5687" spans="1:12">
      <c r="A5687" t="s">
        <v>5608</v>
      </c>
      <c r="B5687">
        <v>476294</v>
      </c>
      <c r="C5687" s="2" t="str">
        <f>"PT-WR15"</f>
        <v>PT-WR15</v>
      </c>
      <c r="D5687" t="s">
        <v>5797</v>
      </c>
      <c r="E5687" t="s">
        <v>4</v>
      </c>
      <c r="F5687">
        <v>7.8</v>
      </c>
      <c r="G5687">
        <v>0.65</v>
      </c>
      <c r="H5687" t="s">
        <v>106</v>
      </c>
      <c r="I5687" s="1">
        <v>3.3</v>
      </c>
      <c r="J5687" s="1">
        <v>3.27</v>
      </c>
      <c r="K5687" t="s">
        <v>21</v>
      </c>
      <c r="L5687" s="1">
        <v>3.6</v>
      </c>
    </row>
    <row r="5688" spans="1:12">
      <c r="A5688" t="s">
        <v>5608</v>
      </c>
      <c r="B5688">
        <v>476284</v>
      </c>
      <c r="C5688" s="2" t="str">
        <f>"PT-WR16"</f>
        <v>PT-WR16</v>
      </c>
      <c r="D5688" t="s">
        <v>5798</v>
      </c>
      <c r="E5688" t="s">
        <v>4</v>
      </c>
      <c r="F5688">
        <v>10.44</v>
      </c>
      <c r="G5688">
        <v>0.87</v>
      </c>
      <c r="H5688" t="s">
        <v>106</v>
      </c>
      <c r="I5688" s="1">
        <v>3.73</v>
      </c>
      <c r="J5688" s="1">
        <v>3.69</v>
      </c>
      <c r="K5688" t="s">
        <v>21</v>
      </c>
      <c r="L5688" s="1">
        <v>4.0599999999999996</v>
      </c>
    </row>
    <row r="5689" spans="1:12">
      <c r="A5689" t="s">
        <v>5608</v>
      </c>
      <c r="B5689">
        <v>476285</v>
      </c>
      <c r="C5689" s="2" t="str">
        <f>"PT-WR17"</f>
        <v>PT-WR17</v>
      </c>
      <c r="D5689" t="s">
        <v>5799</v>
      </c>
      <c r="E5689" t="s">
        <v>4</v>
      </c>
      <c r="F5689">
        <v>9.9600000000000009</v>
      </c>
      <c r="G5689">
        <v>0.83</v>
      </c>
      <c r="H5689" t="s">
        <v>106</v>
      </c>
      <c r="I5689" s="1">
        <v>4.0999999999999996</v>
      </c>
      <c r="J5689" s="1">
        <v>4.0599999999999996</v>
      </c>
      <c r="K5689" t="s">
        <v>21</v>
      </c>
      <c r="L5689" s="1">
        <v>4.46</v>
      </c>
    </row>
    <row r="5690" spans="1:12">
      <c r="A5690" t="s">
        <v>5608</v>
      </c>
      <c r="B5690">
        <v>476286</v>
      </c>
      <c r="C5690" s="2" t="str">
        <f>"PT-WR9"</f>
        <v>PT-WR9</v>
      </c>
      <c r="D5690" t="s">
        <v>5800</v>
      </c>
      <c r="E5690" t="s">
        <v>4</v>
      </c>
      <c r="F5690">
        <v>3.36</v>
      </c>
      <c r="G5690">
        <v>0.28000000000000003</v>
      </c>
      <c r="H5690" t="s">
        <v>106</v>
      </c>
      <c r="I5690" s="1">
        <v>1.42</v>
      </c>
      <c r="J5690" s="1">
        <v>1.4</v>
      </c>
      <c r="K5690" t="s">
        <v>21</v>
      </c>
      <c r="L5690" s="1">
        <v>1.54</v>
      </c>
    </row>
    <row r="5691" spans="1:12">
      <c r="A5691" t="s">
        <v>5608</v>
      </c>
      <c r="B5691">
        <v>482384</v>
      </c>
      <c r="C5691" s="2" t="str">
        <f>"PW-12"</f>
        <v>PW-12</v>
      </c>
      <c r="D5691" t="s">
        <v>5801</v>
      </c>
      <c r="E5691" t="s">
        <v>4</v>
      </c>
      <c r="F5691">
        <v>4.32</v>
      </c>
      <c r="G5691">
        <v>0.36</v>
      </c>
      <c r="H5691" t="s">
        <v>106</v>
      </c>
      <c r="I5691" s="1">
        <v>1.59</v>
      </c>
      <c r="J5691" s="1">
        <v>1.57</v>
      </c>
      <c r="K5691" t="s">
        <v>21</v>
      </c>
      <c r="L5691" s="1">
        <v>1.73</v>
      </c>
    </row>
    <row r="5692" spans="1:12">
      <c r="A5692" t="s">
        <v>5608</v>
      </c>
      <c r="B5692">
        <v>482385</v>
      </c>
      <c r="C5692" s="2" t="str">
        <f>"PW-16"</f>
        <v>PW-16</v>
      </c>
      <c r="D5692" t="s">
        <v>5802</v>
      </c>
      <c r="E5692" t="s">
        <v>4</v>
      </c>
      <c r="F5692">
        <v>6</v>
      </c>
      <c r="G5692">
        <v>0.5</v>
      </c>
      <c r="H5692" t="s">
        <v>106</v>
      </c>
      <c r="I5692" s="1">
        <v>1.9</v>
      </c>
      <c r="J5692" s="1">
        <v>1.88</v>
      </c>
      <c r="K5692" t="s">
        <v>21</v>
      </c>
      <c r="L5692" s="1">
        <v>2.0699999999999998</v>
      </c>
    </row>
    <row r="5693" spans="1:12">
      <c r="A5693" t="s">
        <v>5608</v>
      </c>
      <c r="B5693">
        <v>476411</v>
      </c>
      <c r="C5693" s="2" t="str">
        <f>"RD-5"</f>
        <v>RD-5</v>
      </c>
      <c r="D5693" t="s">
        <v>5803</v>
      </c>
      <c r="E5693" t="s">
        <v>4</v>
      </c>
      <c r="F5693">
        <v>28.56</v>
      </c>
      <c r="G5693">
        <v>1.19</v>
      </c>
      <c r="H5693" t="s">
        <v>666</v>
      </c>
      <c r="I5693" s="1">
        <v>12.87</v>
      </c>
      <c r="J5693" s="1">
        <v>12.75</v>
      </c>
      <c r="K5693" t="s">
        <v>21</v>
      </c>
      <c r="L5693" s="1">
        <v>14.02</v>
      </c>
    </row>
    <row r="5694" spans="1:12">
      <c r="A5694" t="s">
        <v>5608</v>
      </c>
      <c r="B5694">
        <v>495829</v>
      </c>
      <c r="C5694" s="2" t="str">
        <f>"RE-101"</f>
        <v>RE-101</v>
      </c>
      <c r="D5694" t="s">
        <v>5804</v>
      </c>
      <c r="E5694" t="s">
        <v>4</v>
      </c>
      <c r="F5694">
        <v>1.01</v>
      </c>
      <c r="H5694" t="s">
        <v>5</v>
      </c>
      <c r="I5694" s="1">
        <v>9.39</v>
      </c>
      <c r="J5694" s="1">
        <v>9.31</v>
      </c>
      <c r="K5694" t="s">
        <v>6</v>
      </c>
    </row>
    <row r="5695" spans="1:12">
      <c r="A5695" t="s">
        <v>5608</v>
      </c>
      <c r="B5695">
        <v>497115</v>
      </c>
      <c r="C5695" s="2" t="str">
        <f>"RE-103"</f>
        <v>RE-103</v>
      </c>
      <c r="D5695" t="s">
        <v>5805</v>
      </c>
      <c r="E5695" t="s">
        <v>4</v>
      </c>
      <c r="F5695">
        <v>1.56</v>
      </c>
      <c r="H5695" t="s">
        <v>5</v>
      </c>
      <c r="I5695" s="1">
        <v>13.22</v>
      </c>
      <c r="J5695" s="1">
        <v>13.1</v>
      </c>
      <c r="K5695" t="s">
        <v>6</v>
      </c>
    </row>
    <row r="5696" spans="1:12">
      <c r="A5696" t="s">
        <v>5608</v>
      </c>
      <c r="B5696">
        <v>501030</v>
      </c>
      <c r="C5696" s="2" t="str">
        <f>"RE-104"</f>
        <v>RE-104</v>
      </c>
      <c r="D5696" t="s">
        <v>5806</v>
      </c>
      <c r="E5696" t="s">
        <v>4</v>
      </c>
      <c r="F5696">
        <v>1.32</v>
      </c>
      <c r="H5696" t="s">
        <v>5</v>
      </c>
      <c r="I5696" s="1">
        <v>11.52</v>
      </c>
      <c r="J5696" s="1">
        <v>11.41</v>
      </c>
      <c r="K5696" t="s">
        <v>6</v>
      </c>
    </row>
    <row r="5697" spans="1:12">
      <c r="A5697" t="s">
        <v>5608</v>
      </c>
      <c r="B5697">
        <v>495830</v>
      </c>
      <c r="C5697" s="2" t="str">
        <f>"RE-105"</f>
        <v>RE-105</v>
      </c>
      <c r="D5697" t="s">
        <v>5807</v>
      </c>
      <c r="E5697" t="s">
        <v>4</v>
      </c>
      <c r="F5697">
        <v>1.5</v>
      </c>
      <c r="H5697" t="s">
        <v>5</v>
      </c>
      <c r="I5697" s="1">
        <v>13.22</v>
      </c>
      <c r="J5697" s="1">
        <v>13.1</v>
      </c>
      <c r="K5697" t="s">
        <v>6</v>
      </c>
    </row>
    <row r="5698" spans="1:12">
      <c r="A5698" t="s">
        <v>5608</v>
      </c>
      <c r="B5698">
        <v>501129</v>
      </c>
      <c r="C5698" s="2" t="str">
        <f>"RE-107"</f>
        <v>RE-107</v>
      </c>
      <c r="D5698" t="s">
        <v>5808</v>
      </c>
      <c r="E5698" t="s">
        <v>4</v>
      </c>
      <c r="F5698">
        <v>1</v>
      </c>
      <c r="H5698" t="s">
        <v>5</v>
      </c>
      <c r="I5698" s="1">
        <v>9.61</v>
      </c>
      <c r="J5698" s="1">
        <v>9.52</v>
      </c>
      <c r="K5698" t="s">
        <v>6</v>
      </c>
    </row>
    <row r="5699" spans="1:12">
      <c r="A5699" t="s">
        <v>5608</v>
      </c>
      <c r="B5699">
        <v>495831</v>
      </c>
      <c r="C5699" s="2" t="str">
        <f>"RE-108"</f>
        <v>RE-108</v>
      </c>
      <c r="D5699" t="s">
        <v>5809</v>
      </c>
      <c r="E5699" t="s">
        <v>4</v>
      </c>
      <c r="F5699">
        <v>2.69</v>
      </c>
      <c r="H5699" t="s">
        <v>5</v>
      </c>
      <c r="I5699" s="1">
        <v>13.87</v>
      </c>
      <c r="J5699" s="1">
        <v>13.75</v>
      </c>
      <c r="K5699" t="s">
        <v>6</v>
      </c>
    </row>
    <row r="5700" spans="1:12">
      <c r="A5700" t="s">
        <v>5608</v>
      </c>
      <c r="B5700">
        <v>501130</v>
      </c>
      <c r="C5700" s="2" t="str">
        <f>"RE-111"</f>
        <v>RE-111</v>
      </c>
      <c r="D5700" t="s">
        <v>5810</v>
      </c>
      <c r="E5700" t="s">
        <v>4</v>
      </c>
      <c r="F5700">
        <v>2</v>
      </c>
      <c r="H5700" t="s">
        <v>5</v>
      </c>
      <c r="I5700" s="1">
        <v>16.510000000000002</v>
      </c>
      <c r="J5700" s="1">
        <v>16.36</v>
      </c>
      <c r="K5700" t="s">
        <v>6</v>
      </c>
    </row>
    <row r="5701" spans="1:12">
      <c r="A5701" t="s">
        <v>5608</v>
      </c>
      <c r="B5701">
        <v>501131</v>
      </c>
      <c r="C5701" s="2" t="str">
        <f>"RE-112"</f>
        <v>RE-112</v>
      </c>
      <c r="D5701" t="s">
        <v>5811</v>
      </c>
      <c r="E5701" t="s">
        <v>4</v>
      </c>
      <c r="F5701">
        <v>3</v>
      </c>
      <c r="H5701" t="s">
        <v>5</v>
      </c>
      <c r="I5701" s="1">
        <v>16.13</v>
      </c>
      <c r="J5701" s="1">
        <v>15.98</v>
      </c>
      <c r="K5701" t="s">
        <v>6</v>
      </c>
    </row>
    <row r="5702" spans="1:12">
      <c r="A5702" t="s">
        <v>5608</v>
      </c>
      <c r="B5702">
        <v>476413</v>
      </c>
      <c r="C5702" s="2" t="str">
        <f>"RPA-3518"</f>
        <v>RPA-3518</v>
      </c>
      <c r="D5702" t="s">
        <v>5812</v>
      </c>
      <c r="E5702" t="s">
        <v>4</v>
      </c>
      <c r="F5702">
        <v>21</v>
      </c>
      <c r="G5702">
        <v>3.5</v>
      </c>
      <c r="H5702" t="s">
        <v>20</v>
      </c>
      <c r="I5702" s="1">
        <v>24.34</v>
      </c>
      <c r="J5702" s="1">
        <v>24.12</v>
      </c>
      <c r="K5702" t="s">
        <v>21</v>
      </c>
      <c r="L5702" s="1">
        <v>26.53</v>
      </c>
    </row>
    <row r="5703" spans="1:12">
      <c r="A5703" t="s">
        <v>5608</v>
      </c>
      <c r="B5703">
        <v>476414</v>
      </c>
      <c r="C5703" s="2" t="str">
        <f>"RPW-3215"</f>
        <v>RPW-3215</v>
      </c>
      <c r="D5703" t="s">
        <v>5813</v>
      </c>
      <c r="E5703" t="s">
        <v>4</v>
      </c>
      <c r="F5703">
        <v>10.32</v>
      </c>
      <c r="G5703">
        <v>3.44</v>
      </c>
      <c r="H5703" t="s">
        <v>189</v>
      </c>
      <c r="I5703" s="1">
        <v>7.96</v>
      </c>
      <c r="J5703" s="1">
        <v>7.89</v>
      </c>
      <c r="K5703" t="s">
        <v>21</v>
      </c>
      <c r="L5703" s="1">
        <v>8.68</v>
      </c>
    </row>
    <row r="5704" spans="1:12">
      <c r="A5704" t="s">
        <v>5608</v>
      </c>
      <c r="B5704">
        <v>476415</v>
      </c>
      <c r="C5704" s="2" t="str">
        <f>"RPW-3218"</f>
        <v>RPW-3218</v>
      </c>
      <c r="D5704" t="s">
        <v>5814</v>
      </c>
      <c r="E5704" t="s">
        <v>4</v>
      </c>
      <c r="F5704">
        <v>12.42</v>
      </c>
      <c r="G5704">
        <v>4.1399999999999997</v>
      </c>
      <c r="H5704" t="s">
        <v>189</v>
      </c>
      <c r="I5704" s="1">
        <v>9.44</v>
      </c>
      <c r="J5704" s="1">
        <v>9.35</v>
      </c>
      <c r="K5704" t="s">
        <v>21</v>
      </c>
      <c r="L5704" s="1">
        <v>10.29</v>
      </c>
    </row>
    <row r="5705" spans="1:12">
      <c r="A5705" t="s">
        <v>5608</v>
      </c>
      <c r="B5705">
        <v>482386</v>
      </c>
      <c r="C5705" s="2" t="str">
        <f>"RSC-16"</f>
        <v>RSC-16</v>
      </c>
      <c r="D5705" t="s">
        <v>5815</v>
      </c>
      <c r="E5705" t="s">
        <v>4</v>
      </c>
      <c r="F5705">
        <v>2.64</v>
      </c>
      <c r="G5705">
        <v>0.22</v>
      </c>
      <c r="H5705" t="s">
        <v>106</v>
      </c>
      <c r="I5705" s="1">
        <v>1.45</v>
      </c>
      <c r="J5705" s="1">
        <v>1.43</v>
      </c>
      <c r="K5705" t="s">
        <v>21</v>
      </c>
      <c r="L5705" s="1">
        <v>1.58</v>
      </c>
    </row>
    <row r="5706" spans="1:12">
      <c r="A5706" t="s">
        <v>5608</v>
      </c>
      <c r="B5706">
        <v>476204</v>
      </c>
      <c r="C5706" s="2" t="str">
        <f>"SA-19X"</f>
        <v>SA-19X</v>
      </c>
      <c r="D5706" t="s">
        <v>5816</v>
      </c>
      <c r="E5706" t="s">
        <v>4</v>
      </c>
      <c r="F5706">
        <v>17.16</v>
      </c>
      <c r="G5706">
        <v>2.86</v>
      </c>
      <c r="H5706" t="s">
        <v>20</v>
      </c>
      <c r="I5706" s="1">
        <v>25.05</v>
      </c>
      <c r="J5706" s="1">
        <v>24.82</v>
      </c>
      <c r="K5706" t="s">
        <v>21</v>
      </c>
      <c r="L5706" s="1">
        <v>27.3</v>
      </c>
    </row>
    <row r="5707" spans="1:12">
      <c r="A5707" t="s">
        <v>5608</v>
      </c>
      <c r="B5707">
        <v>483638</v>
      </c>
      <c r="C5707" s="2" t="str">
        <f>"SBC-12"</f>
        <v>SBC-12</v>
      </c>
      <c r="D5707" t="s">
        <v>5817</v>
      </c>
      <c r="E5707" t="s">
        <v>4</v>
      </c>
      <c r="F5707">
        <v>1.67</v>
      </c>
      <c r="H5707" t="s">
        <v>5</v>
      </c>
      <c r="I5707" s="1">
        <v>2.93</v>
      </c>
      <c r="J5707" s="1">
        <v>2.91</v>
      </c>
      <c r="K5707" t="s">
        <v>6</v>
      </c>
    </row>
    <row r="5708" spans="1:12">
      <c r="A5708" t="s">
        <v>5608</v>
      </c>
      <c r="B5708">
        <v>482388</v>
      </c>
      <c r="C5708" s="2" t="str">
        <f>"SBC-16W"</f>
        <v>SBC-16W</v>
      </c>
      <c r="D5708" t="s">
        <v>5818</v>
      </c>
      <c r="E5708" t="s">
        <v>4</v>
      </c>
      <c r="F5708">
        <v>0.8</v>
      </c>
      <c r="H5708" t="s">
        <v>5</v>
      </c>
      <c r="I5708" s="1">
        <v>4.46</v>
      </c>
      <c r="J5708" s="1">
        <v>4.42</v>
      </c>
      <c r="K5708" t="s">
        <v>6</v>
      </c>
    </row>
    <row r="5709" spans="1:12">
      <c r="A5709" t="s">
        <v>5608</v>
      </c>
      <c r="B5709">
        <v>482387</v>
      </c>
      <c r="C5709" s="2" t="str">
        <f>"SBR-12"</f>
        <v>SBR-12</v>
      </c>
      <c r="D5709" t="s">
        <v>5819</v>
      </c>
      <c r="E5709" t="s">
        <v>4</v>
      </c>
      <c r="F5709">
        <v>1.67</v>
      </c>
      <c r="H5709" t="s">
        <v>5</v>
      </c>
      <c r="I5709" s="1">
        <v>2.93</v>
      </c>
      <c r="J5709" s="1">
        <v>2.91</v>
      </c>
      <c r="K5709" t="s">
        <v>6</v>
      </c>
    </row>
    <row r="5710" spans="1:12">
      <c r="A5710" t="s">
        <v>5608</v>
      </c>
      <c r="B5710">
        <v>482390</v>
      </c>
      <c r="C5710" s="2" t="str">
        <f>"SBY-12"</f>
        <v>SBY-12</v>
      </c>
      <c r="D5710" t="s">
        <v>5820</v>
      </c>
      <c r="E5710" t="s">
        <v>4</v>
      </c>
      <c r="F5710">
        <v>1.67</v>
      </c>
      <c r="H5710" t="s">
        <v>5</v>
      </c>
      <c r="I5710" s="1">
        <v>2.93</v>
      </c>
      <c r="J5710" s="1">
        <v>2.91</v>
      </c>
      <c r="K5710" t="s">
        <v>6</v>
      </c>
    </row>
    <row r="5711" spans="1:12">
      <c r="A5711" t="s">
        <v>5608</v>
      </c>
      <c r="B5711">
        <v>476416</v>
      </c>
      <c r="C5711" s="2" t="str">
        <f>"SC-25"</f>
        <v>SC-25</v>
      </c>
      <c r="D5711" t="s">
        <v>5821</v>
      </c>
      <c r="E5711" t="s">
        <v>4</v>
      </c>
      <c r="F5711">
        <v>11.16</v>
      </c>
      <c r="G5711">
        <v>0.93</v>
      </c>
      <c r="H5711" t="s">
        <v>106</v>
      </c>
      <c r="I5711" s="1">
        <v>2.54</v>
      </c>
      <c r="J5711" s="1">
        <v>2.5099999999999998</v>
      </c>
      <c r="K5711" t="s">
        <v>1274</v>
      </c>
      <c r="L5711" s="1">
        <v>2.76</v>
      </c>
    </row>
    <row r="5712" spans="1:12">
      <c r="A5712" t="s">
        <v>5608</v>
      </c>
      <c r="B5712">
        <v>481408</v>
      </c>
      <c r="C5712" s="2" t="str">
        <f>"SCC-19"</f>
        <v>SCC-19</v>
      </c>
      <c r="D5712" t="s">
        <v>5822</v>
      </c>
      <c r="E5712" t="s">
        <v>4</v>
      </c>
      <c r="F5712">
        <v>12</v>
      </c>
      <c r="H5712" t="s">
        <v>5</v>
      </c>
      <c r="I5712" s="1">
        <v>42.23</v>
      </c>
      <c r="J5712" s="1">
        <v>41.84</v>
      </c>
      <c r="K5712" t="s">
        <v>6</v>
      </c>
    </row>
    <row r="5713" spans="1:12">
      <c r="A5713" t="s">
        <v>5608</v>
      </c>
      <c r="B5713">
        <v>482392</v>
      </c>
      <c r="C5713" s="2" t="str">
        <f>"SCP-12C"</f>
        <v>SCP-12C</v>
      </c>
      <c r="D5713" t="s">
        <v>5823</v>
      </c>
      <c r="E5713" t="s">
        <v>4</v>
      </c>
      <c r="F5713">
        <v>2.88</v>
      </c>
      <c r="G5713">
        <v>0.24</v>
      </c>
      <c r="H5713" t="s">
        <v>106</v>
      </c>
      <c r="I5713" s="1">
        <v>1.84</v>
      </c>
      <c r="J5713" s="1">
        <v>1.83</v>
      </c>
      <c r="K5713" t="s">
        <v>21</v>
      </c>
      <c r="L5713" s="1">
        <v>2.0099999999999998</v>
      </c>
    </row>
    <row r="5714" spans="1:12">
      <c r="A5714" t="s">
        <v>5608</v>
      </c>
      <c r="B5714">
        <v>482393</v>
      </c>
      <c r="C5714" s="2" t="str">
        <f>"SCP-24C"</f>
        <v>SCP-24C</v>
      </c>
      <c r="D5714" t="s">
        <v>5824</v>
      </c>
      <c r="E5714" t="s">
        <v>4</v>
      </c>
      <c r="F5714">
        <v>3.48</v>
      </c>
      <c r="G5714">
        <v>0.28999999999999998</v>
      </c>
      <c r="H5714" t="s">
        <v>106</v>
      </c>
      <c r="I5714" s="1">
        <v>2.48</v>
      </c>
      <c r="J5714" s="1">
        <v>2.46</v>
      </c>
      <c r="K5714" t="s">
        <v>21</v>
      </c>
      <c r="L5714" s="1">
        <v>2.7</v>
      </c>
    </row>
    <row r="5715" spans="1:12">
      <c r="A5715" t="s">
        <v>5608</v>
      </c>
      <c r="B5715">
        <v>476417</v>
      </c>
      <c r="C5715" s="2" t="str">
        <f>"SH/CP-501"</f>
        <v>SH/CP-501</v>
      </c>
      <c r="D5715" t="s">
        <v>5825</v>
      </c>
      <c r="E5715" t="s">
        <v>4</v>
      </c>
      <c r="F5715">
        <v>42.84</v>
      </c>
      <c r="G5715">
        <v>1.19</v>
      </c>
      <c r="H5715" t="s">
        <v>1397</v>
      </c>
      <c r="I5715" s="1">
        <v>6.06</v>
      </c>
      <c r="J5715" s="1">
        <v>6.01</v>
      </c>
      <c r="K5715" t="s">
        <v>1274</v>
      </c>
      <c r="L5715" s="1">
        <v>6.61</v>
      </c>
    </row>
    <row r="5716" spans="1:12">
      <c r="A5716" t="s">
        <v>5608</v>
      </c>
      <c r="B5716">
        <v>476418</v>
      </c>
      <c r="C5716" s="2" t="str">
        <f>"SH/CP-502"</f>
        <v>SH/CP-502</v>
      </c>
      <c r="D5716" t="s">
        <v>5826</v>
      </c>
      <c r="E5716" t="s">
        <v>4</v>
      </c>
      <c r="F5716">
        <v>41.76</v>
      </c>
      <c r="G5716">
        <v>1.1599999999999999</v>
      </c>
      <c r="H5716" t="s">
        <v>1397</v>
      </c>
      <c r="I5716" s="1">
        <v>6.31</v>
      </c>
      <c r="J5716" s="1">
        <v>6.25</v>
      </c>
      <c r="K5716" t="s">
        <v>1274</v>
      </c>
      <c r="L5716" s="1">
        <v>6.87</v>
      </c>
    </row>
    <row r="5717" spans="1:12">
      <c r="A5717" t="s">
        <v>5608</v>
      </c>
      <c r="B5717">
        <v>476419</v>
      </c>
      <c r="C5717" s="2" t="str">
        <f>"SH/CP-503"</f>
        <v>SH/CP-503</v>
      </c>
      <c r="D5717" t="s">
        <v>5827</v>
      </c>
      <c r="E5717" t="s">
        <v>4</v>
      </c>
      <c r="F5717">
        <v>54</v>
      </c>
      <c r="G5717">
        <v>1.5</v>
      </c>
      <c r="H5717" t="s">
        <v>1397</v>
      </c>
      <c r="I5717" s="1">
        <v>7.5</v>
      </c>
      <c r="J5717" s="1">
        <v>7.43</v>
      </c>
      <c r="K5717" t="s">
        <v>1274</v>
      </c>
      <c r="L5717" s="1">
        <v>8.17</v>
      </c>
    </row>
    <row r="5718" spans="1:12">
      <c r="A5718" t="s">
        <v>5608</v>
      </c>
      <c r="B5718">
        <v>476420</v>
      </c>
      <c r="C5718" s="2" t="str">
        <f>"SH/CP-504"</f>
        <v>SH/CP-504</v>
      </c>
      <c r="D5718" t="s">
        <v>5828</v>
      </c>
      <c r="E5718" t="s">
        <v>4</v>
      </c>
      <c r="F5718">
        <v>43.92</v>
      </c>
      <c r="G5718">
        <v>1.22</v>
      </c>
      <c r="H5718" t="s">
        <v>1397</v>
      </c>
      <c r="I5718" s="1">
        <v>6.63</v>
      </c>
      <c r="J5718" s="1">
        <v>6.57</v>
      </c>
      <c r="K5718" t="s">
        <v>1274</v>
      </c>
      <c r="L5718" s="1">
        <v>7.23</v>
      </c>
    </row>
    <row r="5719" spans="1:12">
      <c r="A5719" t="s">
        <v>5608</v>
      </c>
      <c r="B5719">
        <v>476421</v>
      </c>
      <c r="C5719" s="2" t="str">
        <f>"SH/CP-505"</f>
        <v>SH/CP-505</v>
      </c>
      <c r="D5719" t="s">
        <v>5829</v>
      </c>
      <c r="E5719" t="s">
        <v>4</v>
      </c>
      <c r="F5719">
        <v>47.16</v>
      </c>
      <c r="G5719">
        <v>1.31</v>
      </c>
      <c r="H5719" t="s">
        <v>1397</v>
      </c>
      <c r="I5719" s="1">
        <v>7.5</v>
      </c>
      <c r="J5719" s="1">
        <v>7.43</v>
      </c>
      <c r="K5719" t="s">
        <v>1274</v>
      </c>
      <c r="L5719" s="1">
        <v>8.17</v>
      </c>
    </row>
    <row r="5720" spans="1:12">
      <c r="A5720" t="s">
        <v>5608</v>
      </c>
      <c r="B5720">
        <v>476423</v>
      </c>
      <c r="C5720" s="2" t="str">
        <f>"SH/CP-507"</f>
        <v>SH/CP-507</v>
      </c>
      <c r="D5720" t="s">
        <v>5830</v>
      </c>
      <c r="E5720" t="s">
        <v>4</v>
      </c>
      <c r="F5720">
        <v>24.12</v>
      </c>
      <c r="G5720">
        <v>0.67</v>
      </c>
      <c r="H5720" t="s">
        <v>1397</v>
      </c>
      <c r="I5720" s="1">
        <v>6.31</v>
      </c>
      <c r="J5720" s="1">
        <v>6.25</v>
      </c>
      <c r="K5720" t="s">
        <v>1274</v>
      </c>
      <c r="L5720" s="1">
        <v>6.87</v>
      </c>
    </row>
    <row r="5721" spans="1:12">
      <c r="A5721" t="s">
        <v>5608</v>
      </c>
      <c r="B5721">
        <v>476424</v>
      </c>
      <c r="C5721" s="2" t="str">
        <f>"SH/CP-508"</f>
        <v>SH/CP-508</v>
      </c>
      <c r="D5721" t="s">
        <v>5831</v>
      </c>
      <c r="E5721" t="s">
        <v>4</v>
      </c>
      <c r="F5721">
        <v>37.799999999999997</v>
      </c>
      <c r="G5721">
        <v>2.1</v>
      </c>
      <c r="H5721" t="s">
        <v>4041</v>
      </c>
      <c r="I5721" s="1">
        <v>11.1</v>
      </c>
      <c r="J5721" s="1">
        <v>10.99</v>
      </c>
      <c r="K5721" t="s">
        <v>1274</v>
      </c>
      <c r="L5721" s="1">
        <v>12.09</v>
      </c>
    </row>
    <row r="5722" spans="1:12">
      <c r="A5722" t="s">
        <v>5608</v>
      </c>
      <c r="B5722">
        <v>481091</v>
      </c>
      <c r="C5722" s="2" t="str">
        <f>"SHD-12/SS"</f>
        <v>SHD-12/SS</v>
      </c>
      <c r="D5722" t="s">
        <v>5832</v>
      </c>
      <c r="E5722" t="s">
        <v>4</v>
      </c>
      <c r="F5722">
        <v>2.25</v>
      </c>
      <c r="H5722" t="s">
        <v>5</v>
      </c>
      <c r="I5722" s="1">
        <v>16.829999999999998</v>
      </c>
      <c r="J5722" s="1">
        <v>16.68</v>
      </c>
      <c r="K5722" t="s">
        <v>6</v>
      </c>
    </row>
    <row r="5723" spans="1:12">
      <c r="A5723" t="s">
        <v>5608</v>
      </c>
      <c r="B5723">
        <v>476426</v>
      </c>
      <c r="C5723" s="2" t="str">
        <f>"SK-RPF"</f>
        <v>SK-RPF</v>
      </c>
      <c r="D5723" t="s">
        <v>5833</v>
      </c>
      <c r="E5723" t="s">
        <v>4</v>
      </c>
      <c r="F5723">
        <v>5.5</v>
      </c>
      <c r="H5723" t="s">
        <v>5</v>
      </c>
      <c r="I5723" s="1">
        <v>19.55</v>
      </c>
      <c r="J5723" s="1">
        <v>19.38</v>
      </c>
      <c r="K5723" t="s">
        <v>6</v>
      </c>
    </row>
    <row r="5724" spans="1:12">
      <c r="A5724" t="s">
        <v>5608</v>
      </c>
      <c r="B5724">
        <v>525109</v>
      </c>
      <c r="C5724" s="2" t="str">
        <f>"SL-100"</f>
        <v>SL-100</v>
      </c>
      <c r="D5724" t="s">
        <v>5834</v>
      </c>
      <c r="E5724" t="s">
        <v>4</v>
      </c>
      <c r="F5724">
        <v>18.7</v>
      </c>
      <c r="H5724" t="s">
        <v>5</v>
      </c>
      <c r="I5724" s="1">
        <v>244.52</v>
      </c>
      <c r="J5724" s="1">
        <v>242.27</v>
      </c>
      <c r="K5724" t="s">
        <v>6</v>
      </c>
    </row>
    <row r="5725" spans="1:12">
      <c r="A5725" t="s">
        <v>5608</v>
      </c>
      <c r="B5725">
        <v>552588</v>
      </c>
      <c r="C5725" s="2" t="str">
        <f>"SL-70"</f>
        <v>SL-70</v>
      </c>
      <c r="D5725" t="s">
        <v>5835</v>
      </c>
      <c r="E5725" t="s">
        <v>4</v>
      </c>
      <c r="F5725">
        <v>17.52</v>
      </c>
      <c r="G5725">
        <v>1.46</v>
      </c>
      <c r="H5725" t="s">
        <v>106</v>
      </c>
      <c r="I5725" s="1">
        <v>19.38</v>
      </c>
      <c r="J5725" s="1">
        <v>19.21</v>
      </c>
      <c r="K5725" t="s">
        <v>21</v>
      </c>
      <c r="L5725" s="1">
        <v>21.13</v>
      </c>
    </row>
    <row r="5726" spans="1:12">
      <c r="A5726" t="s">
        <v>5608</v>
      </c>
      <c r="B5726">
        <v>482397</v>
      </c>
      <c r="C5726" s="2" t="str">
        <f>"SPH-1002"</f>
        <v>SPH-1002</v>
      </c>
      <c r="D5726" t="s">
        <v>5836</v>
      </c>
      <c r="E5726" t="s">
        <v>4</v>
      </c>
      <c r="F5726">
        <v>17.7</v>
      </c>
      <c r="G5726">
        <v>2.95</v>
      </c>
      <c r="H5726" t="s">
        <v>20</v>
      </c>
      <c r="I5726" s="1">
        <v>13.26</v>
      </c>
      <c r="J5726" s="1">
        <v>13.14</v>
      </c>
      <c r="K5726" t="s">
        <v>21</v>
      </c>
      <c r="L5726" s="1">
        <v>14.46</v>
      </c>
    </row>
    <row r="5727" spans="1:12">
      <c r="A5727" t="s">
        <v>5608</v>
      </c>
      <c r="B5727">
        <v>482398</v>
      </c>
      <c r="C5727" s="2" t="str">
        <f>"SPH-1004"</f>
        <v>SPH-1004</v>
      </c>
      <c r="D5727" t="s">
        <v>5837</v>
      </c>
      <c r="E5727" t="s">
        <v>4</v>
      </c>
      <c r="F5727">
        <v>21</v>
      </c>
      <c r="G5727">
        <v>3.5</v>
      </c>
      <c r="H5727" t="s">
        <v>20</v>
      </c>
      <c r="I5727" s="1">
        <v>16.829999999999998</v>
      </c>
      <c r="J5727" s="1">
        <v>16.68</v>
      </c>
      <c r="K5727" t="s">
        <v>21</v>
      </c>
      <c r="L5727" s="1">
        <v>18.350000000000001</v>
      </c>
    </row>
    <row r="5728" spans="1:12">
      <c r="A5728" t="s">
        <v>5608</v>
      </c>
      <c r="B5728">
        <v>482399</v>
      </c>
      <c r="C5728" s="2" t="str">
        <f>"SPH-1006"</f>
        <v>SPH-1006</v>
      </c>
      <c r="D5728" t="s">
        <v>5838</v>
      </c>
      <c r="E5728" t="s">
        <v>4</v>
      </c>
      <c r="F5728">
        <v>23.28</v>
      </c>
      <c r="G5728">
        <v>3.88</v>
      </c>
      <c r="H5728" t="s">
        <v>20</v>
      </c>
      <c r="I5728" s="1">
        <v>22.32</v>
      </c>
      <c r="J5728" s="1">
        <v>22.11</v>
      </c>
      <c r="K5728" t="s">
        <v>21</v>
      </c>
      <c r="L5728" s="1">
        <v>24.32</v>
      </c>
    </row>
    <row r="5729" spans="1:12">
      <c r="A5729" t="s">
        <v>5608</v>
      </c>
      <c r="B5729">
        <v>493211</v>
      </c>
      <c r="C5729" s="2" t="str">
        <f>"SPH-112"</f>
        <v>SPH-112</v>
      </c>
      <c r="D5729" t="s">
        <v>5839</v>
      </c>
      <c r="E5729" t="s">
        <v>4</v>
      </c>
      <c r="F5729">
        <v>5.76</v>
      </c>
      <c r="G5729">
        <v>0.48</v>
      </c>
      <c r="H5729" t="s">
        <v>106</v>
      </c>
      <c r="I5729" s="1">
        <v>3.27</v>
      </c>
      <c r="J5729" s="1">
        <v>3.24</v>
      </c>
      <c r="K5729" t="s">
        <v>457</v>
      </c>
      <c r="L5729" s="1">
        <v>3.57</v>
      </c>
    </row>
    <row r="5730" spans="1:12">
      <c r="A5730" t="s">
        <v>5608</v>
      </c>
      <c r="B5730">
        <v>482400</v>
      </c>
      <c r="C5730" s="2" t="str">
        <f>"SPH-114"</f>
        <v>SPH-114</v>
      </c>
      <c r="D5730" t="s">
        <v>5840</v>
      </c>
      <c r="E5730" t="s">
        <v>4</v>
      </c>
      <c r="F5730">
        <v>6.24</v>
      </c>
      <c r="G5730">
        <v>0.52</v>
      </c>
      <c r="H5730" t="s">
        <v>106</v>
      </c>
      <c r="I5730" s="1">
        <v>4.0999999999999996</v>
      </c>
      <c r="J5730" s="1">
        <v>4.0599999999999996</v>
      </c>
      <c r="K5730" t="s">
        <v>21</v>
      </c>
      <c r="L5730" s="1">
        <v>4.46</v>
      </c>
    </row>
    <row r="5731" spans="1:12">
      <c r="A5731" t="s">
        <v>5608</v>
      </c>
      <c r="B5731">
        <v>493221</v>
      </c>
      <c r="C5731" s="2" t="str">
        <f>"SPH-162"</f>
        <v>SPH-162</v>
      </c>
      <c r="D5731" t="s">
        <v>5841</v>
      </c>
      <c r="E5731" t="s">
        <v>4</v>
      </c>
      <c r="F5731">
        <v>6.84</v>
      </c>
      <c r="G5731">
        <v>0.56999999999999995</v>
      </c>
      <c r="H5731" t="s">
        <v>106</v>
      </c>
      <c r="I5731" s="1">
        <v>3.9</v>
      </c>
      <c r="J5731" s="1">
        <v>3.86</v>
      </c>
      <c r="K5731" t="s">
        <v>457</v>
      </c>
      <c r="L5731" s="1">
        <v>4.25</v>
      </c>
    </row>
    <row r="5732" spans="1:12">
      <c r="A5732" t="s">
        <v>5608</v>
      </c>
      <c r="B5732">
        <v>482401</v>
      </c>
      <c r="C5732" s="2" t="str">
        <f>"SPH-164"</f>
        <v>SPH-164</v>
      </c>
      <c r="D5732" t="s">
        <v>5842</v>
      </c>
      <c r="E5732" t="s">
        <v>4</v>
      </c>
      <c r="F5732">
        <v>10.08</v>
      </c>
      <c r="G5732">
        <v>0.84</v>
      </c>
      <c r="H5732" t="s">
        <v>106</v>
      </c>
      <c r="I5732" s="1">
        <v>5.72</v>
      </c>
      <c r="J5732" s="1">
        <v>5.67</v>
      </c>
      <c r="K5732" t="s">
        <v>21</v>
      </c>
      <c r="L5732" s="1">
        <v>6.24</v>
      </c>
    </row>
    <row r="5733" spans="1:12">
      <c r="A5733" t="s">
        <v>5608</v>
      </c>
      <c r="B5733">
        <v>482402</v>
      </c>
      <c r="C5733" s="2" t="str">
        <f>"SPH-166"</f>
        <v>SPH-166</v>
      </c>
      <c r="D5733" t="s">
        <v>5843</v>
      </c>
      <c r="E5733" t="s">
        <v>4</v>
      </c>
      <c r="F5733">
        <v>12.72</v>
      </c>
      <c r="G5733">
        <v>1.06</v>
      </c>
      <c r="H5733" t="s">
        <v>106</v>
      </c>
      <c r="I5733" s="1">
        <v>8.2799999999999994</v>
      </c>
      <c r="J5733" s="1">
        <v>8.1999999999999993</v>
      </c>
      <c r="K5733" t="s">
        <v>21</v>
      </c>
      <c r="L5733" s="1">
        <v>9.02</v>
      </c>
    </row>
    <row r="5734" spans="1:12">
      <c r="A5734" t="s">
        <v>5608</v>
      </c>
      <c r="B5734">
        <v>492456</v>
      </c>
      <c r="C5734" s="2" t="str">
        <f>"SPH-252"</f>
        <v>SPH-252</v>
      </c>
      <c r="D5734" t="s">
        <v>5844</v>
      </c>
      <c r="E5734" t="s">
        <v>4</v>
      </c>
      <c r="F5734">
        <v>10.56</v>
      </c>
      <c r="G5734">
        <v>0.88</v>
      </c>
      <c r="H5734" t="s">
        <v>106</v>
      </c>
      <c r="I5734" s="1">
        <v>5.13</v>
      </c>
      <c r="J5734" s="1">
        <v>5.08</v>
      </c>
      <c r="K5734" t="s">
        <v>457</v>
      </c>
      <c r="L5734" s="1">
        <v>5.59</v>
      </c>
    </row>
    <row r="5735" spans="1:12">
      <c r="A5735" t="s">
        <v>5608</v>
      </c>
      <c r="B5735">
        <v>482459</v>
      </c>
      <c r="C5735" s="2" t="str">
        <f>"SPH-254"</f>
        <v>SPH-254</v>
      </c>
      <c r="D5735" t="s">
        <v>5845</v>
      </c>
      <c r="E5735" t="s">
        <v>4</v>
      </c>
      <c r="F5735">
        <v>14.04</v>
      </c>
      <c r="G5735">
        <v>1.17</v>
      </c>
      <c r="H5735" t="s">
        <v>106</v>
      </c>
      <c r="I5735" s="1">
        <v>6.96</v>
      </c>
      <c r="J5735" s="1">
        <v>6.89</v>
      </c>
      <c r="K5735" t="s">
        <v>21</v>
      </c>
      <c r="L5735" s="1">
        <v>7.58</v>
      </c>
    </row>
    <row r="5736" spans="1:12">
      <c r="A5736" t="s">
        <v>5608</v>
      </c>
      <c r="B5736">
        <v>492527</v>
      </c>
      <c r="C5736" s="2" t="str">
        <f>"SPH-256"</f>
        <v>SPH-256</v>
      </c>
      <c r="D5736" t="s">
        <v>5846</v>
      </c>
      <c r="E5736" t="s">
        <v>4</v>
      </c>
      <c r="F5736">
        <v>15.72</v>
      </c>
      <c r="G5736">
        <v>1.31</v>
      </c>
      <c r="H5736" t="s">
        <v>106</v>
      </c>
      <c r="I5736" s="1">
        <v>10.89</v>
      </c>
      <c r="J5736" s="1">
        <v>10.8</v>
      </c>
      <c r="K5736" t="s">
        <v>457</v>
      </c>
      <c r="L5736" s="1">
        <v>11.88</v>
      </c>
    </row>
    <row r="5737" spans="1:12">
      <c r="A5737" t="s">
        <v>5608</v>
      </c>
      <c r="B5737">
        <v>482403</v>
      </c>
      <c r="C5737" s="2" t="str">
        <f>"SPH-332"</f>
        <v>SPH-332</v>
      </c>
      <c r="D5737" t="s">
        <v>5847</v>
      </c>
      <c r="E5737" t="s">
        <v>4</v>
      </c>
      <c r="F5737">
        <v>13.92</v>
      </c>
      <c r="G5737">
        <v>1.1599999999999999</v>
      </c>
      <c r="H5737" t="s">
        <v>106</v>
      </c>
      <c r="I5737" s="1">
        <v>6.56</v>
      </c>
      <c r="J5737" s="1">
        <v>6.5</v>
      </c>
      <c r="K5737" t="s">
        <v>21</v>
      </c>
      <c r="L5737" s="1">
        <v>7.15</v>
      </c>
    </row>
    <row r="5738" spans="1:12">
      <c r="A5738" t="s">
        <v>5608</v>
      </c>
      <c r="B5738">
        <v>482404</v>
      </c>
      <c r="C5738" s="2" t="str">
        <f>"SPH-334"</f>
        <v>SPH-334</v>
      </c>
      <c r="D5738" t="s">
        <v>5848</v>
      </c>
      <c r="E5738" t="s">
        <v>4</v>
      </c>
      <c r="F5738">
        <v>18.12</v>
      </c>
      <c r="G5738">
        <v>1.51</v>
      </c>
      <c r="H5738" t="s">
        <v>106</v>
      </c>
      <c r="I5738" s="1">
        <v>8.0299999999999994</v>
      </c>
      <c r="J5738" s="1">
        <v>7.96</v>
      </c>
      <c r="K5738" t="s">
        <v>21</v>
      </c>
      <c r="L5738" s="1">
        <v>8.76</v>
      </c>
    </row>
    <row r="5739" spans="1:12">
      <c r="A5739" t="s">
        <v>5608</v>
      </c>
      <c r="B5739">
        <v>482405</v>
      </c>
      <c r="C5739" s="2" t="str">
        <f>"SPH-336"</f>
        <v>SPH-336</v>
      </c>
      <c r="D5739" t="s">
        <v>5849</v>
      </c>
      <c r="E5739" t="s">
        <v>4</v>
      </c>
      <c r="F5739">
        <v>21.24</v>
      </c>
      <c r="G5739">
        <v>1.77</v>
      </c>
      <c r="H5739" t="s">
        <v>106</v>
      </c>
      <c r="I5739" s="1">
        <v>12.43</v>
      </c>
      <c r="J5739" s="1">
        <v>12.31</v>
      </c>
      <c r="K5739" t="s">
        <v>21</v>
      </c>
      <c r="L5739" s="1">
        <v>13.54</v>
      </c>
    </row>
    <row r="5740" spans="1:12">
      <c r="A5740" t="s">
        <v>5608</v>
      </c>
      <c r="B5740">
        <v>482406</v>
      </c>
      <c r="C5740" s="2" t="str">
        <f>"SPH-502"</f>
        <v>SPH-502</v>
      </c>
      <c r="D5740" t="s">
        <v>5850</v>
      </c>
      <c r="E5740" t="s">
        <v>4</v>
      </c>
      <c r="F5740">
        <v>17.760000000000002</v>
      </c>
      <c r="G5740">
        <v>1.48</v>
      </c>
      <c r="H5740" t="s">
        <v>106</v>
      </c>
      <c r="I5740" s="1">
        <v>7.95</v>
      </c>
      <c r="J5740" s="1">
        <v>7.88</v>
      </c>
      <c r="K5740" t="s">
        <v>21</v>
      </c>
      <c r="L5740" s="1">
        <v>8.66</v>
      </c>
    </row>
    <row r="5741" spans="1:12">
      <c r="A5741" t="s">
        <v>5608</v>
      </c>
      <c r="B5741">
        <v>482407</v>
      </c>
      <c r="C5741" s="2" t="str">
        <f>"SPH-504"</f>
        <v>SPH-504</v>
      </c>
      <c r="D5741" t="s">
        <v>5851</v>
      </c>
      <c r="E5741" t="s">
        <v>4</v>
      </c>
      <c r="F5741">
        <v>11.94</v>
      </c>
      <c r="G5741">
        <v>1.99</v>
      </c>
      <c r="H5741" t="s">
        <v>20</v>
      </c>
      <c r="I5741" s="1">
        <v>9.86</v>
      </c>
      <c r="J5741" s="1">
        <v>9.77</v>
      </c>
      <c r="K5741" t="s">
        <v>21</v>
      </c>
      <c r="L5741" s="1">
        <v>10.75</v>
      </c>
    </row>
    <row r="5742" spans="1:12">
      <c r="A5742" t="s">
        <v>5608</v>
      </c>
      <c r="B5742">
        <v>482408</v>
      </c>
      <c r="C5742" s="2" t="str">
        <f>"SPH-506"</f>
        <v>SPH-506</v>
      </c>
      <c r="D5742" t="s">
        <v>5852</v>
      </c>
      <c r="E5742" t="s">
        <v>4</v>
      </c>
      <c r="F5742">
        <v>13.44</v>
      </c>
      <c r="G5742">
        <v>2.2400000000000002</v>
      </c>
      <c r="H5742" t="s">
        <v>20</v>
      </c>
      <c r="I5742" s="1">
        <v>14.31</v>
      </c>
      <c r="J5742" s="1">
        <v>14.18</v>
      </c>
      <c r="K5742" t="s">
        <v>21</v>
      </c>
      <c r="L5742" s="1">
        <v>15.6</v>
      </c>
    </row>
    <row r="5743" spans="1:12">
      <c r="A5743" t="s">
        <v>5608</v>
      </c>
      <c r="B5743">
        <v>555896</v>
      </c>
      <c r="C5743" s="2" t="str">
        <f>"SPOR-CL"</f>
        <v>SPOR-CL</v>
      </c>
      <c r="D5743" t="s">
        <v>5853</v>
      </c>
      <c r="E5743" t="s">
        <v>4</v>
      </c>
      <c r="F5743">
        <v>0.33</v>
      </c>
      <c r="H5743" t="s">
        <v>5</v>
      </c>
      <c r="I5743" s="1">
        <v>7.2</v>
      </c>
      <c r="J5743" s="1">
        <v>7.13</v>
      </c>
      <c r="K5743" t="s">
        <v>6</v>
      </c>
    </row>
    <row r="5744" spans="1:12">
      <c r="A5744" t="s">
        <v>5608</v>
      </c>
      <c r="B5744">
        <v>493216</v>
      </c>
      <c r="C5744" s="2" t="str">
        <f>"SPSD-2"</f>
        <v>SPSD-2</v>
      </c>
      <c r="D5744" t="s">
        <v>5854</v>
      </c>
      <c r="E5744" t="s">
        <v>4</v>
      </c>
      <c r="F5744">
        <v>3</v>
      </c>
      <c r="G5744">
        <v>0.25</v>
      </c>
      <c r="H5744" t="s">
        <v>106</v>
      </c>
      <c r="I5744" s="1">
        <v>1.1499999999999999</v>
      </c>
      <c r="J5744" s="1">
        <v>1.1399999999999999</v>
      </c>
      <c r="K5744" t="s">
        <v>457</v>
      </c>
      <c r="L5744" s="1">
        <v>1.25</v>
      </c>
    </row>
    <row r="5745" spans="1:12">
      <c r="A5745" t="s">
        <v>5608</v>
      </c>
      <c r="B5745">
        <v>487722</v>
      </c>
      <c r="C5745" s="2" t="str">
        <f>"SPSD-4"</f>
        <v>SPSD-4</v>
      </c>
      <c r="D5745" t="s">
        <v>5855</v>
      </c>
      <c r="E5745" t="s">
        <v>4</v>
      </c>
      <c r="F5745">
        <v>3.24</v>
      </c>
      <c r="G5745">
        <v>0.27</v>
      </c>
      <c r="H5745" t="s">
        <v>106</v>
      </c>
      <c r="I5745" s="1">
        <v>1.46</v>
      </c>
      <c r="J5745" s="1">
        <v>1.45</v>
      </c>
      <c r="K5745" t="s">
        <v>21</v>
      </c>
      <c r="L5745" s="1">
        <v>1.59</v>
      </c>
    </row>
    <row r="5746" spans="1:12">
      <c r="A5746" t="s">
        <v>5608</v>
      </c>
      <c r="B5746">
        <v>493214</v>
      </c>
      <c r="C5746" s="2" t="str">
        <f>"SPSD-6"</f>
        <v>SPSD-6</v>
      </c>
      <c r="D5746" t="s">
        <v>5856</v>
      </c>
      <c r="E5746" t="s">
        <v>4</v>
      </c>
      <c r="F5746">
        <v>4.5599999999999996</v>
      </c>
      <c r="G5746">
        <v>0.38</v>
      </c>
      <c r="H5746" t="s">
        <v>106</v>
      </c>
      <c r="I5746" s="1">
        <v>1.71</v>
      </c>
      <c r="J5746" s="1">
        <v>1.7</v>
      </c>
      <c r="K5746" t="s">
        <v>457</v>
      </c>
      <c r="L5746" s="1">
        <v>1.87</v>
      </c>
    </row>
    <row r="5747" spans="1:12">
      <c r="A5747" t="s">
        <v>5608</v>
      </c>
      <c r="B5747">
        <v>493217</v>
      </c>
      <c r="C5747" s="2" t="str">
        <f>"SPSD-8"</f>
        <v>SPSD-8</v>
      </c>
      <c r="D5747" t="s">
        <v>5857</v>
      </c>
      <c r="E5747" t="s">
        <v>4</v>
      </c>
      <c r="F5747">
        <v>4.5599999999999996</v>
      </c>
      <c r="G5747">
        <v>0.38</v>
      </c>
      <c r="H5747" t="s">
        <v>106</v>
      </c>
      <c r="I5747" s="1">
        <v>1.93</v>
      </c>
      <c r="J5747" s="1">
        <v>1.91</v>
      </c>
      <c r="K5747" t="s">
        <v>457</v>
      </c>
      <c r="L5747" s="1">
        <v>2.1</v>
      </c>
    </row>
    <row r="5748" spans="1:12">
      <c r="A5748" t="s">
        <v>5608</v>
      </c>
      <c r="B5748">
        <v>476427</v>
      </c>
      <c r="C5748" s="2" t="str">
        <f>"SPT-6"</f>
        <v>SPT-6</v>
      </c>
      <c r="D5748" t="s">
        <v>5858</v>
      </c>
      <c r="E5748" t="s">
        <v>4</v>
      </c>
      <c r="F5748">
        <v>3.36</v>
      </c>
      <c r="G5748">
        <v>0.14000000000000001</v>
      </c>
      <c r="H5748" t="s">
        <v>666</v>
      </c>
      <c r="I5748" s="1">
        <v>1.28</v>
      </c>
      <c r="J5748" s="1">
        <v>1.26</v>
      </c>
      <c r="K5748" t="s">
        <v>21</v>
      </c>
      <c r="L5748" s="1">
        <v>1.39</v>
      </c>
    </row>
    <row r="5749" spans="1:12">
      <c r="A5749" t="s">
        <v>5608</v>
      </c>
      <c r="B5749">
        <v>476428</v>
      </c>
      <c r="C5749" s="2" t="str">
        <f>"SSK-55"</f>
        <v>SSK-55</v>
      </c>
      <c r="D5749" t="s">
        <v>5859</v>
      </c>
      <c r="E5749" t="s">
        <v>4</v>
      </c>
      <c r="F5749">
        <v>4.92</v>
      </c>
      <c r="G5749">
        <v>0.41</v>
      </c>
      <c r="H5749" t="s">
        <v>106</v>
      </c>
      <c r="I5749" s="1">
        <v>1.73</v>
      </c>
      <c r="J5749" s="1">
        <v>1.71</v>
      </c>
      <c r="K5749" t="s">
        <v>21</v>
      </c>
      <c r="L5749" s="1">
        <v>1.88</v>
      </c>
    </row>
    <row r="5750" spans="1:12">
      <c r="A5750" t="s">
        <v>5608</v>
      </c>
      <c r="B5750">
        <v>501291</v>
      </c>
      <c r="C5750" s="2" t="str">
        <f>"SSP-50"</f>
        <v>SSP-50</v>
      </c>
      <c r="D5750" t="s">
        <v>5860</v>
      </c>
      <c r="E5750" t="s">
        <v>4</v>
      </c>
      <c r="F5750">
        <v>1.38</v>
      </c>
      <c r="H5750" t="s">
        <v>5</v>
      </c>
      <c r="I5750" s="1">
        <v>4.7300000000000004</v>
      </c>
      <c r="J5750" s="1">
        <v>4.6900000000000004</v>
      </c>
      <c r="K5750" t="s">
        <v>6</v>
      </c>
    </row>
    <row r="5751" spans="1:12">
      <c r="A5751" t="s">
        <v>5608</v>
      </c>
      <c r="B5751">
        <v>482143</v>
      </c>
      <c r="C5751" s="2" t="str">
        <f>"ST-12HD/CS"</f>
        <v>ST-12HD/CS</v>
      </c>
      <c r="D5751" t="s">
        <v>5861</v>
      </c>
      <c r="E5751" t="s">
        <v>4</v>
      </c>
      <c r="F5751">
        <v>4.2</v>
      </c>
      <c r="G5751">
        <v>0.35</v>
      </c>
      <c r="H5751" t="s">
        <v>106</v>
      </c>
      <c r="I5751" s="1">
        <v>1.49</v>
      </c>
      <c r="J5751" s="1">
        <v>1.47</v>
      </c>
      <c r="K5751" t="s">
        <v>21</v>
      </c>
      <c r="L5751" s="1">
        <v>1.62</v>
      </c>
    </row>
    <row r="5752" spans="1:12">
      <c r="A5752" t="s">
        <v>5608</v>
      </c>
      <c r="B5752">
        <v>482144</v>
      </c>
      <c r="C5752" s="2" t="str">
        <f>"ST-9HD/CS"</f>
        <v>ST-9HD/CS</v>
      </c>
      <c r="D5752" t="s">
        <v>5862</v>
      </c>
      <c r="E5752" t="s">
        <v>4</v>
      </c>
      <c r="F5752">
        <v>3.36</v>
      </c>
      <c r="G5752">
        <v>0.28000000000000003</v>
      </c>
      <c r="H5752" t="s">
        <v>106</v>
      </c>
      <c r="I5752" s="1">
        <v>1.26</v>
      </c>
      <c r="J5752" s="1">
        <v>1.25</v>
      </c>
      <c r="K5752" t="s">
        <v>21</v>
      </c>
      <c r="L5752" s="1">
        <v>1.37</v>
      </c>
    </row>
    <row r="5753" spans="1:12">
      <c r="A5753" t="s">
        <v>5608</v>
      </c>
      <c r="B5753">
        <v>482409</v>
      </c>
      <c r="C5753" s="2" t="str">
        <f>"STP-100CHC"</f>
        <v>STP-100CHC</v>
      </c>
      <c r="D5753" t="s">
        <v>5863</v>
      </c>
      <c r="E5753" t="s">
        <v>4</v>
      </c>
      <c r="F5753">
        <v>25.2</v>
      </c>
      <c r="G5753">
        <v>2.1</v>
      </c>
      <c r="H5753" t="s">
        <v>106</v>
      </c>
      <c r="I5753" s="1">
        <v>11.04</v>
      </c>
      <c r="J5753" s="1">
        <v>10.94</v>
      </c>
      <c r="K5753" t="s">
        <v>21</v>
      </c>
      <c r="L5753" s="1">
        <v>12.03</v>
      </c>
    </row>
    <row r="5754" spans="1:12">
      <c r="A5754" t="s">
        <v>5608</v>
      </c>
      <c r="B5754">
        <v>499570</v>
      </c>
      <c r="C5754" s="2" t="str">
        <f>"STP-11CHC"</f>
        <v>STP-11CHC</v>
      </c>
      <c r="D5754" t="s">
        <v>5864</v>
      </c>
      <c r="E5754" t="s">
        <v>4</v>
      </c>
      <c r="F5754">
        <v>2.52</v>
      </c>
      <c r="G5754">
        <v>0.21</v>
      </c>
      <c r="H5754" t="s">
        <v>106</v>
      </c>
      <c r="I5754" s="1">
        <v>2.3199999999999998</v>
      </c>
      <c r="J5754" s="1">
        <v>2.2999999999999998</v>
      </c>
      <c r="K5754" t="s">
        <v>21</v>
      </c>
      <c r="L5754" s="1">
        <v>2.5299999999999998</v>
      </c>
    </row>
    <row r="5755" spans="1:12">
      <c r="A5755" t="s">
        <v>5608</v>
      </c>
      <c r="B5755">
        <v>482410</v>
      </c>
      <c r="C5755" s="2" t="str">
        <f>"STP-16CHC"</f>
        <v>STP-16CHC</v>
      </c>
      <c r="D5755" t="s">
        <v>5865</v>
      </c>
      <c r="E5755" t="s">
        <v>4</v>
      </c>
      <c r="F5755">
        <v>4.68</v>
      </c>
      <c r="G5755">
        <v>0.39</v>
      </c>
      <c r="H5755" t="s">
        <v>106</v>
      </c>
      <c r="I5755" s="1">
        <v>2.68</v>
      </c>
      <c r="J5755" s="1">
        <v>2.65</v>
      </c>
      <c r="K5755" t="s">
        <v>21</v>
      </c>
      <c r="L5755" s="1">
        <v>2.92</v>
      </c>
    </row>
    <row r="5756" spans="1:12">
      <c r="A5756" t="s">
        <v>5608</v>
      </c>
      <c r="B5756">
        <v>497118</v>
      </c>
      <c r="C5756" s="2" t="str">
        <f>"STP-25CHC"</f>
        <v>STP-25CHC</v>
      </c>
      <c r="D5756" t="s">
        <v>5866</v>
      </c>
      <c r="E5756" t="s">
        <v>4</v>
      </c>
      <c r="F5756">
        <v>5.16</v>
      </c>
      <c r="G5756">
        <v>0.43</v>
      </c>
      <c r="H5756" t="s">
        <v>106</v>
      </c>
      <c r="I5756" s="1">
        <v>3.93</v>
      </c>
      <c r="J5756" s="1">
        <v>3.89</v>
      </c>
      <c r="K5756" t="s">
        <v>457</v>
      </c>
      <c r="L5756" s="1">
        <v>4.28</v>
      </c>
    </row>
    <row r="5757" spans="1:12">
      <c r="A5757" t="s">
        <v>5608</v>
      </c>
      <c r="B5757">
        <v>482411</v>
      </c>
      <c r="C5757" s="2" t="str">
        <f>"STP-33CHC"</f>
        <v>STP-33CHC</v>
      </c>
      <c r="D5757" t="s">
        <v>5867</v>
      </c>
      <c r="E5757" t="s">
        <v>4</v>
      </c>
      <c r="F5757">
        <v>8.76</v>
      </c>
      <c r="G5757">
        <v>0.73</v>
      </c>
      <c r="H5757" t="s">
        <v>106</v>
      </c>
      <c r="I5757" s="1">
        <v>4.24</v>
      </c>
      <c r="J5757" s="1">
        <v>4.2</v>
      </c>
      <c r="K5757" t="s">
        <v>21</v>
      </c>
      <c r="L5757" s="1">
        <v>4.62</v>
      </c>
    </row>
    <row r="5758" spans="1:12">
      <c r="A5758" t="s">
        <v>5608</v>
      </c>
      <c r="B5758">
        <v>482413</v>
      </c>
      <c r="C5758" s="2" t="str">
        <f>"STP-50CHC"</f>
        <v>STP-50CHC</v>
      </c>
      <c r="D5758" t="s">
        <v>5868</v>
      </c>
      <c r="E5758" t="s">
        <v>4</v>
      </c>
      <c r="F5758">
        <v>13.08</v>
      </c>
      <c r="G5758">
        <v>1.0900000000000001</v>
      </c>
      <c r="H5758" t="s">
        <v>106</v>
      </c>
      <c r="I5758" s="1">
        <v>5.68</v>
      </c>
      <c r="J5758" s="1">
        <v>5.63</v>
      </c>
      <c r="K5758" t="s">
        <v>21</v>
      </c>
      <c r="L5758" s="1">
        <v>6.19</v>
      </c>
    </row>
    <row r="5759" spans="1:12">
      <c r="A5759" t="s">
        <v>5608</v>
      </c>
      <c r="B5759">
        <v>476429</v>
      </c>
      <c r="C5759" s="2" t="str">
        <f>"STPF-14"</f>
        <v>STPF-14</v>
      </c>
      <c r="D5759" t="s">
        <v>5869</v>
      </c>
      <c r="E5759" t="s">
        <v>4</v>
      </c>
      <c r="F5759">
        <v>3</v>
      </c>
      <c r="G5759">
        <v>0.25</v>
      </c>
      <c r="H5759" t="s">
        <v>106</v>
      </c>
      <c r="I5759" s="1">
        <v>1.1200000000000001</v>
      </c>
      <c r="J5759" s="1">
        <v>1.1100000000000001</v>
      </c>
      <c r="K5759" t="s">
        <v>21</v>
      </c>
      <c r="L5759" s="1">
        <v>1.22</v>
      </c>
    </row>
    <row r="5760" spans="1:12">
      <c r="A5760" t="s">
        <v>5608</v>
      </c>
      <c r="B5760">
        <v>481092</v>
      </c>
      <c r="C5760" s="2" t="str">
        <f>"STP-RC"</f>
        <v>STP-RC</v>
      </c>
      <c r="D5760" t="s">
        <v>5870</v>
      </c>
      <c r="E5760" t="s">
        <v>4</v>
      </c>
      <c r="F5760">
        <v>12.1</v>
      </c>
      <c r="H5760" t="s">
        <v>5</v>
      </c>
      <c r="I5760" s="1">
        <v>67.849999999999994</v>
      </c>
      <c r="J5760" s="1">
        <v>67.22</v>
      </c>
      <c r="K5760" t="s">
        <v>6</v>
      </c>
    </row>
    <row r="5761" spans="1:12">
      <c r="A5761" t="s">
        <v>5608</v>
      </c>
      <c r="B5761">
        <v>476205</v>
      </c>
      <c r="C5761" s="2" t="str">
        <f>"SV-100"</f>
        <v>SV-100</v>
      </c>
      <c r="D5761" t="s">
        <v>5871</v>
      </c>
      <c r="E5761" t="s">
        <v>4</v>
      </c>
      <c r="F5761">
        <v>18.72</v>
      </c>
      <c r="G5761">
        <v>1.56</v>
      </c>
      <c r="H5761" t="s">
        <v>106</v>
      </c>
      <c r="I5761" s="1">
        <v>18.75</v>
      </c>
      <c r="J5761" s="1">
        <v>18.57</v>
      </c>
      <c r="K5761" t="s">
        <v>21</v>
      </c>
      <c r="L5761" s="1">
        <v>20.43</v>
      </c>
    </row>
    <row r="5762" spans="1:12">
      <c r="A5762" t="s">
        <v>5608</v>
      </c>
      <c r="B5762">
        <v>482430</v>
      </c>
      <c r="C5762" s="2" t="str">
        <f>"SV-70"</f>
        <v>SV-70</v>
      </c>
      <c r="D5762" t="s">
        <v>5872</v>
      </c>
      <c r="E5762" t="s">
        <v>4</v>
      </c>
      <c r="F5762">
        <v>15.96</v>
      </c>
      <c r="G5762">
        <v>1.33</v>
      </c>
      <c r="H5762" t="s">
        <v>106</v>
      </c>
      <c r="I5762" s="1">
        <v>15.9</v>
      </c>
      <c r="J5762" s="1">
        <v>15.75</v>
      </c>
      <c r="K5762" t="s">
        <v>21</v>
      </c>
      <c r="L5762" s="1">
        <v>17.329999999999998</v>
      </c>
    </row>
    <row r="5763" spans="1:12">
      <c r="A5763" t="s">
        <v>5608</v>
      </c>
      <c r="B5763">
        <v>476431</v>
      </c>
      <c r="C5763" s="2" t="str">
        <f>"TB-35"</f>
        <v>TB-35</v>
      </c>
      <c r="D5763" t="s">
        <v>5873</v>
      </c>
      <c r="E5763" t="s">
        <v>4</v>
      </c>
      <c r="F5763">
        <v>4.2</v>
      </c>
      <c r="G5763">
        <v>0.35</v>
      </c>
      <c r="H5763" t="s">
        <v>106</v>
      </c>
      <c r="I5763" s="1">
        <v>2.1800000000000002</v>
      </c>
      <c r="J5763" s="1">
        <v>2.16</v>
      </c>
      <c r="K5763" t="s">
        <v>21</v>
      </c>
      <c r="L5763" s="1">
        <v>2.38</v>
      </c>
    </row>
    <row r="5764" spans="1:12">
      <c r="A5764" t="s">
        <v>5608</v>
      </c>
      <c r="B5764">
        <v>482432</v>
      </c>
      <c r="C5764" s="2" t="str">
        <f>"THCF-20D"</f>
        <v>THCF-20D</v>
      </c>
      <c r="D5764" t="s">
        <v>5874</v>
      </c>
      <c r="E5764" t="s">
        <v>4</v>
      </c>
      <c r="F5764">
        <v>3.12</v>
      </c>
      <c r="G5764">
        <v>0.13</v>
      </c>
      <c r="H5764" t="s">
        <v>666</v>
      </c>
      <c r="I5764" s="1">
        <v>2.58</v>
      </c>
      <c r="J5764" s="1">
        <v>2.56</v>
      </c>
      <c r="K5764" t="s">
        <v>21</v>
      </c>
      <c r="L5764" s="1">
        <v>2.81</v>
      </c>
    </row>
    <row r="5765" spans="1:12">
      <c r="A5765" t="s">
        <v>5608</v>
      </c>
      <c r="B5765">
        <v>495629</v>
      </c>
      <c r="C5765" s="2" t="str">
        <f>"THDP-450"</f>
        <v>THDP-450</v>
      </c>
      <c r="D5765" t="s">
        <v>5875</v>
      </c>
      <c r="E5765" t="s">
        <v>4</v>
      </c>
      <c r="F5765">
        <v>3.24</v>
      </c>
      <c r="G5765">
        <v>0.27</v>
      </c>
      <c r="H5765" t="s">
        <v>106</v>
      </c>
      <c r="I5765" s="1">
        <v>7.45</v>
      </c>
      <c r="J5765" s="1">
        <v>7.39</v>
      </c>
      <c r="K5765" t="s">
        <v>457</v>
      </c>
      <c r="L5765" s="1">
        <v>8.1199999999999992</v>
      </c>
    </row>
    <row r="5766" spans="1:12">
      <c r="A5766" t="s">
        <v>5608</v>
      </c>
      <c r="B5766">
        <v>482433</v>
      </c>
      <c r="C5766" s="2" t="str">
        <f>"THFR-17"</f>
        <v>THFR-17</v>
      </c>
      <c r="D5766" t="s">
        <v>5876</v>
      </c>
      <c r="E5766" t="s">
        <v>4</v>
      </c>
      <c r="F5766">
        <v>1.68</v>
      </c>
      <c r="G5766">
        <v>7.0000000000000007E-2</v>
      </c>
      <c r="H5766" t="s">
        <v>666</v>
      </c>
      <c r="I5766" s="1">
        <v>2.5099999999999998</v>
      </c>
      <c r="J5766" s="1">
        <v>2.4900000000000002</v>
      </c>
      <c r="K5766" t="s">
        <v>21</v>
      </c>
      <c r="L5766" s="1">
        <v>2.73</v>
      </c>
    </row>
    <row r="5767" spans="1:12">
      <c r="A5767" t="s">
        <v>5608</v>
      </c>
      <c r="B5767">
        <v>482436</v>
      </c>
      <c r="C5767" s="2" t="str">
        <f>"THOV-20"</f>
        <v>THOV-20</v>
      </c>
      <c r="D5767" t="s">
        <v>5877</v>
      </c>
      <c r="E5767" t="s">
        <v>4</v>
      </c>
      <c r="F5767">
        <v>3.12</v>
      </c>
      <c r="G5767">
        <v>0.13</v>
      </c>
      <c r="H5767" t="s">
        <v>666</v>
      </c>
      <c r="I5767" s="1">
        <v>2.0699999999999998</v>
      </c>
      <c r="J5767" s="1">
        <v>2.0499999999999998</v>
      </c>
      <c r="K5767" t="s">
        <v>21</v>
      </c>
      <c r="L5767" s="1">
        <v>2.25</v>
      </c>
    </row>
    <row r="5768" spans="1:12">
      <c r="A5768" t="s">
        <v>5608</v>
      </c>
      <c r="B5768">
        <v>489597</v>
      </c>
      <c r="C5768" s="2" t="str">
        <f>"THP-220"</f>
        <v>THP-220</v>
      </c>
      <c r="D5768" t="s">
        <v>5878</v>
      </c>
      <c r="E5768" t="s">
        <v>4</v>
      </c>
      <c r="F5768">
        <v>1.44</v>
      </c>
      <c r="G5768">
        <v>0.06</v>
      </c>
      <c r="H5768" t="s">
        <v>666</v>
      </c>
      <c r="I5768" s="1">
        <v>2.37</v>
      </c>
      <c r="J5768" s="1">
        <v>2.34</v>
      </c>
      <c r="K5768" t="s">
        <v>21</v>
      </c>
      <c r="L5768" s="1">
        <v>2.58</v>
      </c>
    </row>
    <row r="5769" spans="1:12">
      <c r="A5769" t="s">
        <v>5608</v>
      </c>
      <c r="B5769">
        <v>482437</v>
      </c>
      <c r="C5769" s="2" t="str">
        <f>"THP-550"</f>
        <v>THP-550</v>
      </c>
      <c r="D5769" t="s">
        <v>5879</v>
      </c>
      <c r="E5769" t="s">
        <v>4</v>
      </c>
      <c r="F5769">
        <v>1.68</v>
      </c>
      <c r="G5769">
        <v>7.0000000000000007E-2</v>
      </c>
      <c r="H5769" t="s">
        <v>666</v>
      </c>
      <c r="I5769" s="1">
        <v>2.35</v>
      </c>
      <c r="J5769" s="1">
        <v>2.33</v>
      </c>
      <c r="K5769" t="s">
        <v>21</v>
      </c>
      <c r="L5769" s="1">
        <v>2.56</v>
      </c>
    </row>
    <row r="5770" spans="1:12">
      <c r="A5770" t="s">
        <v>5608</v>
      </c>
      <c r="B5770">
        <v>482438</v>
      </c>
      <c r="C5770" s="2" t="str">
        <f>"THRE-20"</f>
        <v>THRE-20</v>
      </c>
      <c r="D5770" t="s">
        <v>5880</v>
      </c>
      <c r="E5770" t="s">
        <v>4</v>
      </c>
      <c r="F5770">
        <v>3.12</v>
      </c>
      <c r="G5770">
        <v>0.13</v>
      </c>
      <c r="H5770" t="s">
        <v>666</v>
      </c>
      <c r="I5770" s="1">
        <v>2.0699999999999998</v>
      </c>
      <c r="J5770" s="1">
        <v>2.0499999999999998</v>
      </c>
      <c r="K5770" t="s">
        <v>21</v>
      </c>
      <c r="L5770" s="1">
        <v>2.25</v>
      </c>
    </row>
    <row r="5771" spans="1:12">
      <c r="A5771" t="s">
        <v>5608</v>
      </c>
      <c r="B5771">
        <v>482439</v>
      </c>
      <c r="C5771" s="2" t="str">
        <f>"TIM-60LR"</f>
        <v>TIM-60LR</v>
      </c>
      <c r="D5771" t="s">
        <v>5881</v>
      </c>
      <c r="E5771" t="s">
        <v>4</v>
      </c>
      <c r="F5771">
        <v>3.6</v>
      </c>
      <c r="G5771">
        <v>0.6</v>
      </c>
      <c r="H5771" t="s">
        <v>20</v>
      </c>
      <c r="I5771" s="1">
        <v>8.49</v>
      </c>
      <c r="J5771" s="1">
        <v>8.41</v>
      </c>
      <c r="K5771" t="s">
        <v>21</v>
      </c>
      <c r="L5771" s="1">
        <v>9.25</v>
      </c>
    </row>
    <row r="5772" spans="1:12">
      <c r="A5772" t="s">
        <v>5608</v>
      </c>
      <c r="B5772">
        <v>552875</v>
      </c>
      <c r="C5772" s="2" t="str">
        <f>"TK-85"</f>
        <v>TK-85</v>
      </c>
      <c r="D5772" t="s">
        <v>5882</v>
      </c>
      <c r="E5772" t="s">
        <v>4</v>
      </c>
      <c r="F5772">
        <v>15</v>
      </c>
      <c r="G5772">
        <v>1.25</v>
      </c>
      <c r="H5772" t="s">
        <v>106</v>
      </c>
      <c r="I5772" s="1">
        <v>4.17</v>
      </c>
      <c r="J5772" s="1">
        <v>4.13</v>
      </c>
      <c r="K5772" t="s">
        <v>21</v>
      </c>
      <c r="L5772" s="1">
        <v>4.54</v>
      </c>
    </row>
    <row r="5773" spans="1:12">
      <c r="A5773" t="s">
        <v>5608</v>
      </c>
      <c r="B5773">
        <v>482440</v>
      </c>
      <c r="C5773" s="2" t="str">
        <f>"TOPP-12"</f>
        <v>TOPP-12</v>
      </c>
      <c r="D5773" t="s">
        <v>5883</v>
      </c>
      <c r="E5773" t="s">
        <v>4</v>
      </c>
      <c r="F5773">
        <v>4.32</v>
      </c>
      <c r="G5773">
        <v>0.36</v>
      </c>
      <c r="H5773" t="s">
        <v>106</v>
      </c>
      <c r="I5773" s="1">
        <v>3.47</v>
      </c>
      <c r="J5773" s="1">
        <v>3.44</v>
      </c>
      <c r="K5773" t="s">
        <v>21</v>
      </c>
      <c r="L5773" s="1">
        <v>3.78</v>
      </c>
    </row>
    <row r="5774" spans="1:12">
      <c r="A5774" t="s">
        <v>5608</v>
      </c>
      <c r="B5774">
        <v>482441</v>
      </c>
      <c r="C5774" s="2" t="str">
        <f>"TSC-37"</f>
        <v>TSC-37</v>
      </c>
      <c r="D5774" t="s">
        <v>5884</v>
      </c>
      <c r="E5774" t="s">
        <v>4</v>
      </c>
      <c r="F5774">
        <v>32</v>
      </c>
      <c r="G5774">
        <v>8</v>
      </c>
      <c r="H5774" t="s">
        <v>153</v>
      </c>
      <c r="I5774" s="1">
        <v>20.190000000000001</v>
      </c>
      <c r="J5774" s="1">
        <v>20.010000000000002</v>
      </c>
      <c r="K5774" t="s">
        <v>21</v>
      </c>
      <c r="L5774" s="1">
        <v>22.01</v>
      </c>
    </row>
    <row r="5775" spans="1:12">
      <c r="A5775" t="s">
        <v>5608</v>
      </c>
      <c r="B5775">
        <v>485038</v>
      </c>
      <c r="C5775" s="2" t="str">
        <f>"UD1000N"</f>
        <v>UD1000N</v>
      </c>
      <c r="D5775" t="s">
        <v>5885</v>
      </c>
      <c r="E5775" t="s">
        <v>4</v>
      </c>
      <c r="F5775">
        <v>41.76</v>
      </c>
      <c r="G5775">
        <v>1.74</v>
      </c>
      <c r="H5775" t="s">
        <v>666</v>
      </c>
      <c r="I5775" s="1">
        <v>28.24</v>
      </c>
      <c r="J5775" s="1">
        <v>27.98</v>
      </c>
      <c r="K5775" t="s">
        <v>21</v>
      </c>
      <c r="L5775" s="1">
        <v>30.78</v>
      </c>
    </row>
    <row r="5776" spans="1:12">
      <c r="A5776" t="s">
        <v>5608</v>
      </c>
      <c r="B5776">
        <v>479100</v>
      </c>
      <c r="C5776" s="2" t="str">
        <f>"UD1000P"</f>
        <v>UD1000P</v>
      </c>
      <c r="D5776" t="s">
        <v>5886</v>
      </c>
      <c r="E5776" t="s">
        <v>4</v>
      </c>
      <c r="F5776">
        <v>41.76</v>
      </c>
      <c r="G5776">
        <v>1.74</v>
      </c>
      <c r="H5776" t="s">
        <v>666</v>
      </c>
      <c r="I5776" s="1">
        <v>28.24</v>
      </c>
      <c r="J5776" s="1">
        <v>27.98</v>
      </c>
      <c r="K5776" t="s">
        <v>21</v>
      </c>
      <c r="L5776" s="1">
        <v>30.78</v>
      </c>
    </row>
    <row r="5777" spans="1:12">
      <c r="A5777" t="s">
        <v>5608</v>
      </c>
      <c r="B5777">
        <v>476433</v>
      </c>
      <c r="C5777" s="2" t="str">
        <f>"UP-13"</f>
        <v>UP-13</v>
      </c>
      <c r="D5777" t="s">
        <v>5887</v>
      </c>
      <c r="E5777" t="s">
        <v>4</v>
      </c>
      <c r="F5777">
        <v>31.56</v>
      </c>
      <c r="G5777">
        <v>2.63</v>
      </c>
      <c r="H5777" t="s">
        <v>106</v>
      </c>
      <c r="I5777" s="1">
        <v>16.93</v>
      </c>
      <c r="J5777" s="1">
        <v>16.78</v>
      </c>
      <c r="K5777" t="s">
        <v>21</v>
      </c>
      <c r="L5777" s="1">
        <v>18.46</v>
      </c>
    </row>
    <row r="5778" spans="1:12">
      <c r="A5778" t="s">
        <v>5608</v>
      </c>
      <c r="B5778">
        <v>482442</v>
      </c>
      <c r="C5778" s="2" t="str">
        <f>"UP-72"</f>
        <v>UP-72</v>
      </c>
      <c r="D5778" t="s">
        <v>5888</v>
      </c>
      <c r="E5778" t="s">
        <v>4</v>
      </c>
      <c r="F5778">
        <v>21.42</v>
      </c>
      <c r="G5778">
        <v>3.57</v>
      </c>
      <c r="H5778" t="s">
        <v>20</v>
      </c>
      <c r="I5778" s="1">
        <v>27.96</v>
      </c>
      <c r="J5778" s="1">
        <v>27.7</v>
      </c>
      <c r="K5778" t="s">
        <v>21</v>
      </c>
      <c r="L5778" s="1">
        <v>30.47</v>
      </c>
    </row>
    <row r="5779" spans="1:12">
      <c r="A5779" t="s">
        <v>5608</v>
      </c>
      <c r="B5779">
        <v>476434</v>
      </c>
      <c r="C5779" s="2" t="str">
        <f>"WC-AC"</f>
        <v>WC-AC</v>
      </c>
      <c r="D5779" t="s">
        <v>5889</v>
      </c>
      <c r="E5779" t="s">
        <v>4</v>
      </c>
      <c r="F5779">
        <v>17.64</v>
      </c>
      <c r="G5779">
        <v>1.47</v>
      </c>
      <c r="H5779" t="s">
        <v>106</v>
      </c>
      <c r="I5779" s="1">
        <v>5.7</v>
      </c>
      <c r="J5779" s="1">
        <v>5.64</v>
      </c>
      <c r="K5779" t="s">
        <v>21</v>
      </c>
      <c r="L5779" s="1">
        <v>6.21</v>
      </c>
    </row>
    <row r="5780" spans="1:12">
      <c r="A5780" t="s">
        <v>5608</v>
      </c>
      <c r="B5780">
        <v>476435</v>
      </c>
      <c r="C5780" s="2" t="str">
        <f>"WCS-KD"</f>
        <v>WCS-KD</v>
      </c>
      <c r="D5780" t="s">
        <v>5890</v>
      </c>
      <c r="E5780" t="s">
        <v>4</v>
      </c>
      <c r="F5780">
        <v>17.5</v>
      </c>
      <c r="G5780">
        <v>1.75</v>
      </c>
      <c r="H5780" t="s">
        <v>108</v>
      </c>
      <c r="I5780" s="1">
        <v>5.13</v>
      </c>
      <c r="J5780" s="1">
        <v>5.08</v>
      </c>
      <c r="K5780" t="s">
        <v>21</v>
      </c>
      <c r="L5780" s="1">
        <v>5.59</v>
      </c>
    </row>
    <row r="5781" spans="1:12">
      <c r="A5781" t="s">
        <v>5608</v>
      </c>
      <c r="B5781">
        <v>482460</v>
      </c>
      <c r="C5781" s="2" t="str">
        <f>"WDS-36"</f>
        <v>WDS-36</v>
      </c>
      <c r="D5781" t="s">
        <v>5891</v>
      </c>
      <c r="E5781" t="s">
        <v>4</v>
      </c>
      <c r="F5781">
        <v>4.2</v>
      </c>
      <c r="G5781">
        <v>0.35</v>
      </c>
      <c r="H5781" t="s">
        <v>106</v>
      </c>
      <c r="I5781" s="1">
        <v>1.32</v>
      </c>
      <c r="J5781" s="1">
        <v>1.31</v>
      </c>
      <c r="K5781" t="s">
        <v>21</v>
      </c>
      <c r="L5781" s="1">
        <v>1.44</v>
      </c>
    </row>
    <row r="5782" spans="1:12">
      <c r="A5782" t="s">
        <v>5608</v>
      </c>
      <c r="B5782">
        <v>476436</v>
      </c>
      <c r="C5782" s="2" t="str">
        <f>"WM/CP-31"</f>
        <v>WM/CP-31</v>
      </c>
      <c r="D5782" t="s">
        <v>5892</v>
      </c>
      <c r="E5782" t="s">
        <v>4</v>
      </c>
      <c r="F5782">
        <v>7.92</v>
      </c>
      <c r="G5782">
        <v>0.44</v>
      </c>
      <c r="H5782" t="s">
        <v>4041</v>
      </c>
      <c r="I5782" s="1">
        <v>3.23</v>
      </c>
      <c r="J5782" s="1">
        <v>3.2</v>
      </c>
      <c r="K5782" t="s">
        <v>3830</v>
      </c>
      <c r="L5782" s="1">
        <v>3.52</v>
      </c>
    </row>
    <row r="5783" spans="1:12">
      <c r="A5783" t="s">
        <v>5608</v>
      </c>
      <c r="B5783">
        <v>476437</v>
      </c>
      <c r="C5783" s="2" t="str">
        <f>"WM/CP-32"</f>
        <v>WM/CP-32</v>
      </c>
      <c r="D5783" t="s">
        <v>5893</v>
      </c>
      <c r="E5783" t="s">
        <v>4</v>
      </c>
      <c r="F5783">
        <v>10.62</v>
      </c>
      <c r="G5783">
        <v>0.59</v>
      </c>
      <c r="H5783" t="s">
        <v>4041</v>
      </c>
      <c r="I5783" s="1">
        <v>3.8</v>
      </c>
      <c r="J5783" s="1">
        <v>3.76</v>
      </c>
      <c r="K5783" t="s">
        <v>3830</v>
      </c>
      <c r="L5783" s="1">
        <v>4.1399999999999997</v>
      </c>
    </row>
    <row r="5784" spans="1:12">
      <c r="A5784" t="s">
        <v>5608</v>
      </c>
      <c r="B5784">
        <v>476439</v>
      </c>
      <c r="C5784" s="2" t="str">
        <f>"WM/CP-34"</f>
        <v>WM/CP-34</v>
      </c>
      <c r="D5784" t="s">
        <v>5894</v>
      </c>
      <c r="E5784" t="s">
        <v>4</v>
      </c>
      <c r="F5784">
        <v>12.96</v>
      </c>
      <c r="G5784">
        <v>0.72</v>
      </c>
      <c r="H5784" t="s">
        <v>4041</v>
      </c>
      <c r="I5784" s="1">
        <v>4.22</v>
      </c>
      <c r="J5784" s="1">
        <v>4.18</v>
      </c>
      <c r="K5784" t="s">
        <v>3830</v>
      </c>
      <c r="L5784" s="1">
        <v>4.5999999999999996</v>
      </c>
    </row>
    <row r="5785" spans="1:12">
      <c r="A5785" t="s">
        <v>5608</v>
      </c>
      <c r="B5785">
        <v>476442</v>
      </c>
      <c r="C5785" s="2" t="str">
        <f>"WM/CP-35"</f>
        <v>WM/CP-35</v>
      </c>
      <c r="D5785" t="s">
        <v>5895</v>
      </c>
      <c r="E5785" t="s">
        <v>4</v>
      </c>
      <c r="F5785">
        <v>11.34</v>
      </c>
      <c r="G5785">
        <v>0.63</v>
      </c>
      <c r="H5785" t="s">
        <v>4041</v>
      </c>
      <c r="I5785" s="1">
        <v>4.3899999999999997</v>
      </c>
      <c r="J5785" s="1">
        <v>4.3499999999999996</v>
      </c>
      <c r="K5785" t="s">
        <v>3830</v>
      </c>
      <c r="L5785" s="1">
        <v>4.79</v>
      </c>
    </row>
    <row r="5786" spans="1:12">
      <c r="A5786" t="s">
        <v>5608</v>
      </c>
      <c r="B5786">
        <v>476443</v>
      </c>
      <c r="C5786" s="2" t="str">
        <f>"WM/CP-36"</f>
        <v>WM/CP-36</v>
      </c>
      <c r="D5786" t="s">
        <v>5896</v>
      </c>
      <c r="E5786" t="s">
        <v>4</v>
      </c>
      <c r="F5786">
        <v>7.92</v>
      </c>
      <c r="G5786">
        <v>0.44</v>
      </c>
      <c r="H5786" t="s">
        <v>4041</v>
      </c>
      <c r="I5786" s="1">
        <v>3.8</v>
      </c>
      <c r="J5786" s="1">
        <v>3.76</v>
      </c>
      <c r="K5786" t="s">
        <v>3830</v>
      </c>
      <c r="L5786" s="1">
        <v>4.1399999999999997</v>
      </c>
    </row>
    <row r="5787" spans="1:12">
      <c r="A5787" t="s">
        <v>5608</v>
      </c>
      <c r="B5787">
        <v>476444</v>
      </c>
      <c r="C5787" s="2" t="str">
        <f>"WM/CP-38"</f>
        <v>WM/CP-38</v>
      </c>
      <c r="D5787" t="s">
        <v>5897</v>
      </c>
      <c r="E5787" t="s">
        <v>4</v>
      </c>
      <c r="F5787">
        <v>15.84</v>
      </c>
      <c r="G5787">
        <v>0.44</v>
      </c>
      <c r="H5787" t="s">
        <v>1397</v>
      </c>
      <c r="I5787" s="1">
        <v>4.32</v>
      </c>
      <c r="J5787" s="1">
        <v>4.28</v>
      </c>
      <c r="K5787" t="s">
        <v>1274</v>
      </c>
      <c r="L5787" s="1">
        <v>4.71</v>
      </c>
    </row>
    <row r="5788" spans="1:12">
      <c r="A5788" t="s">
        <v>5608</v>
      </c>
      <c r="B5788">
        <v>482443</v>
      </c>
      <c r="C5788" s="2" t="str">
        <f>"WP-32SC"</f>
        <v>WP-32SC</v>
      </c>
      <c r="D5788" t="s">
        <v>5898</v>
      </c>
      <c r="E5788" t="s">
        <v>4</v>
      </c>
      <c r="F5788">
        <v>6.36</v>
      </c>
      <c r="G5788">
        <v>0.53</v>
      </c>
      <c r="H5788" t="s">
        <v>106</v>
      </c>
      <c r="I5788" s="1">
        <v>1.96</v>
      </c>
      <c r="J5788" s="1">
        <v>1.94</v>
      </c>
      <c r="K5788" t="s">
        <v>21</v>
      </c>
      <c r="L5788" s="1">
        <v>2.13</v>
      </c>
    </row>
    <row r="5789" spans="1:12">
      <c r="A5789" t="s">
        <v>5608</v>
      </c>
      <c r="B5789">
        <v>482444</v>
      </c>
      <c r="C5789" s="2" t="str">
        <f>"WP-60PC"</f>
        <v>WP-60PC</v>
      </c>
      <c r="D5789" t="s">
        <v>5899</v>
      </c>
      <c r="E5789" t="s">
        <v>4</v>
      </c>
      <c r="F5789">
        <v>9.6</v>
      </c>
      <c r="G5789">
        <v>0.8</v>
      </c>
      <c r="H5789" t="s">
        <v>106</v>
      </c>
      <c r="I5789" s="1">
        <v>4.62</v>
      </c>
      <c r="J5789" s="1">
        <v>4.58</v>
      </c>
      <c r="K5789" t="s">
        <v>21</v>
      </c>
      <c r="L5789" s="1">
        <v>5.03</v>
      </c>
    </row>
    <row r="5790" spans="1:12">
      <c r="A5790" t="s">
        <v>5608</v>
      </c>
      <c r="B5790">
        <v>476445</v>
      </c>
      <c r="C5790" s="2" t="str">
        <f>"WPF-13"</f>
        <v>WPF-13</v>
      </c>
      <c r="D5790" t="s">
        <v>5900</v>
      </c>
      <c r="E5790" t="s">
        <v>4</v>
      </c>
      <c r="F5790">
        <v>22.8</v>
      </c>
      <c r="G5790">
        <v>1.9</v>
      </c>
      <c r="H5790" t="s">
        <v>106</v>
      </c>
      <c r="I5790" s="1">
        <v>1.36</v>
      </c>
      <c r="J5790" s="1">
        <v>1.35</v>
      </c>
      <c r="K5790" t="s">
        <v>21</v>
      </c>
      <c r="L5790" s="1">
        <v>1.48</v>
      </c>
    </row>
    <row r="5791" spans="1:12">
      <c r="A5791" t="s">
        <v>5608</v>
      </c>
      <c r="B5791">
        <v>476446</v>
      </c>
      <c r="C5791" s="2" t="str">
        <f>"WPF-21"</f>
        <v>WPF-21</v>
      </c>
      <c r="D5791" t="s">
        <v>5901</v>
      </c>
      <c r="E5791" t="s">
        <v>4</v>
      </c>
      <c r="F5791">
        <v>5.28</v>
      </c>
      <c r="G5791">
        <v>0.44</v>
      </c>
      <c r="H5791" t="s">
        <v>106</v>
      </c>
      <c r="I5791" s="1">
        <v>1.84</v>
      </c>
      <c r="J5791" s="1">
        <v>1.83</v>
      </c>
      <c r="K5791" t="s">
        <v>21</v>
      </c>
      <c r="L5791" s="1">
        <v>2.0099999999999998</v>
      </c>
    </row>
    <row r="5792" spans="1:12">
      <c r="A5792" t="s">
        <v>5608</v>
      </c>
      <c r="B5792">
        <v>557339</v>
      </c>
      <c r="C5792" s="2" t="str">
        <f>"WPOR-CL"</f>
        <v>WPOR-CL</v>
      </c>
      <c r="D5792" t="s">
        <v>5902</v>
      </c>
      <c r="E5792" t="s">
        <v>4</v>
      </c>
      <c r="F5792">
        <v>0.26</v>
      </c>
      <c r="H5792" t="s">
        <v>5</v>
      </c>
      <c r="I5792" s="1">
        <v>3.51</v>
      </c>
      <c r="J5792" s="1">
        <v>3.48</v>
      </c>
      <c r="K5792" t="s">
        <v>6</v>
      </c>
    </row>
    <row r="5793" spans="1:12">
      <c r="A5793" t="s">
        <v>5608</v>
      </c>
      <c r="B5793">
        <v>476447</v>
      </c>
      <c r="C5793" s="2" t="str">
        <f>"WPS-6"</f>
        <v>WPS-6</v>
      </c>
      <c r="D5793" t="s">
        <v>5903</v>
      </c>
      <c r="E5793" t="s">
        <v>4</v>
      </c>
      <c r="F5793">
        <v>2.16</v>
      </c>
      <c r="G5793">
        <v>0.18</v>
      </c>
      <c r="H5793" t="s">
        <v>106</v>
      </c>
      <c r="I5793" s="1">
        <v>1.1499999999999999</v>
      </c>
      <c r="J5793" s="1">
        <v>1.1399999999999999</v>
      </c>
      <c r="K5793" t="s">
        <v>21</v>
      </c>
      <c r="L5793" s="1">
        <v>1.25</v>
      </c>
    </row>
    <row r="5794" spans="1:12">
      <c r="A5794" t="s">
        <v>5608</v>
      </c>
      <c r="B5794">
        <v>484784</v>
      </c>
      <c r="C5794" s="2" t="str">
        <f>"WSER-7"</f>
        <v>WSER-7</v>
      </c>
      <c r="D5794" t="s">
        <v>5904</v>
      </c>
      <c r="E5794" t="s">
        <v>4</v>
      </c>
      <c r="F5794">
        <v>4.2</v>
      </c>
      <c r="G5794">
        <v>0.35</v>
      </c>
      <c r="H5794" t="s">
        <v>106</v>
      </c>
      <c r="I5794" s="1">
        <v>2.2200000000000002</v>
      </c>
      <c r="J5794" s="1">
        <v>2.2000000000000002</v>
      </c>
      <c r="K5794" t="s">
        <v>21</v>
      </c>
      <c r="L5794" s="1">
        <v>2.42</v>
      </c>
    </row>
    <row r="5795" spans="1:12">
      <c r="A5795" t="s">
        <v>5608</v>
      </c>
      <c r="B5795">
        <v>476448</v>
      </c>
      <c r="C5795" s="2" t="str">
        <f>"WSP-14"</f>
        <v>WSP-14</v>
      </c>
      <c r="D5795" t="s">
        <v>5905</v>
      </c>
      <c r="E5795" t="s">
        <v>4</v>
      </c>
      <c r="F5795">
        <v>1.56</v>
      </c>
      <c r="G5795">
        <v>0.13</v>
      </c>
      <c r="H5795" t="s">
        <v>106</v>
      </c>
      <c r="I5795" s="1">
        <v>0.87</v>
      </c>
      <c r="J5795" s="1">
        <v>0.86</v>
      </c>
      <c r="K5795" t="s">
        <v>21</v>
      </c>
      <c r="L5795" s="1">
        <v>0.94</v>
      </c>
    </row>
    <row r="5796" spans="1:12">
      <c r="A5796" t="s">
        <v>5608</v>
      </c>
      <c r="B5796">
        <v>476449</v>
      </c>
      <c r="C5796" s="2" t="str">
        <f>"WSP-18"</f>
        <v>WSP-18</v>
      </c>
      <c r="D5796" t="s">
        <v>5906</v>
      </c>
      <c r="E5796" t="s">
        <v>4</v>
      </c>
      <c r="F5796">
        <v>1.92</v>
      </c>
      <c r="G5796">
        <v>0.16</v>
      </c>
      <c r="H5796" t="s">
        <v>106</v>
      </c>
      <c r="I5796" s="1">
        <v>1.08</v>
      </c>
      <c r="J5796" s="1">
        <v>1.07</v>
      </c>
      <c r="K5796" t="s">
        <v>21</v>
      </c>
      <c r="L5796" s="1">
        <v>1.17</v>
      </c>
    </row>
    <row r="5797" spans="1:12">
      <c r="A5797" t="s">
        <v>5608</v>
      </c>
      <c r="B5797">
        <v>482445</v>
      </c>
      <c r="C5797" s="2" t="str">
        <f>"WTPF-10"</f>
        <v>WTPF-10</v>
      </c>
      <c r="D5797" t="s">
        <v>5907</v>
      </c>
      <c r="E5797" t="s">
        <v>4</v>
      </c>
      <c r="F5797">
        <v>5.28</v>
      </c>
      <c r="G5797">
        <v>0.44</v>
      </c>
      <c r="H5797" t="s">
        <v>106</v>
      </c>
      <c r="I5797" s="1">
        <v>2.27</v>
      </c>
      <c r="J5797" s="1">
        <v>2.25</v>
      </c>
      <c r="K5797" t="s">
        <v>21</v>
      </c>
      <c r="L5797" s="1">
        <v>2.4700000000000002</v>
      </c>
    </row>
    <row r="5798" spans="1:12">
      <c r="A5798" t="s">
        <v>5608</v>
      </c>
      <c r="B5798">
        <v>484780</v>
      </c>
      <c r="C5798" s="2" t="str">
        <f>"WTSD-48"</f>
        <v>WTSD-48</v>
      </c>
      <c r="D5798" t="s">
        <v>5908</v>
      </c>
      <c r="E5798" t="s">
        <v>4</v>
      </c>
      <c r="F5798">
        <v>8.4</v>
      </c>
      <c r="G5798">
        <v>0.7</v>
      </c>
      <c r="H5798" t="s">
        <v>106</v>
      </c>
      <c r="I5798" s="1">
        <v>3.49</v>
      </c>
      <c r="J5798" s="1">
        <v>3.45</v>
      </c>
      <c r="K5798" t="s">
        <v>21</v>
      </c>
      <c r="L5798" s="1">
        <v>3.8</v>
      </c>
    </row>
    <row r="5799" spans="1:12">
      <c r="A5799" t="s">
        <v>5909</v>
      </c>
      <c r="B5799">
        <v>534553</v>
      </c>
      <c r="C5799" s="2" t="str">
        <f>"ARG-1"</f>
        <v>ARG-1</v>
      </c>
      <c r="D5799" t="s">
        <v>5910</v>
      </c>
      <c r="E5799" t="s">
        <v>4</v>
      </c>
      <c r="F5799">
        <v>23</v>
      </c>
      <c r="H5799" t="s">
        <v>5</v>
      </c>
      <c r="I5799" s="1">
        <v>41.58</v>
      </c>
      <c r="J5799" s="1">
        <v>40.450000000000003</v>
      </c>
      <c r="K5799" t="s">
        <v>6</v>
      </c>
    </row>
    <row r="5800" spans="1:12">
      <c r="A5800" t="s">
        <v>5909</v>
      </c>
      <c r="B5800">
        <v>534563</v>
      </c>
      <c r="C5800" s="2" t="str">
        <f>"ARG-11"</f>
        <v>ARG-11</v>
      </c>
      <c r="D5800" t="s">
        <v>5911</v>
      </c>
      <c r="E5800" t="s">
        <v>4</v>
      </c>
      <c r="F5800">
        <v>12</v>
      </c>
      <c r="H5800" t="s">
        <v>5</v>
      </c>
      <c r="I5800" s="1">
        <v>26.47</v>
      </c>
      <c r="J5800" s="1">
        <v>25.76</v>
      </c>
      <c r="K5800" t="s">
        <v>6</v>
      </c>
    </row>
    <row r="5801" spans="1:12">
      <c r="A5801" t="s">
        <v>5909</v>
      </c>
      <c r="B5801">
        <v>534583</v>
      </c>
      <c r="C5801" s="2" t="str">
        <f>"ARG-12"</f>
        <v>ARG-12</v>
      </c>
      <c r="D5801" t="s">
        <v>5912</v>
      </c>
      <c r="E5801" t="s">
        <v>4</v>
      </c>
      <c r="F5801">
        <v>32</v>
      </c>
      <c r="H5801" t="s">
        <v>5</v>
      </c>
      <c r="I5801" s="1">
        <v>79.989999999999995</v>
      </c>
      <c r="J5801" s="1">
        <v>77.819999999999993</v>
      </c>
      <c r="K5801" t="s">
        <v>6</v>
      </c>
    </row>
    <row r="5802" spans="1:12">
      <c r="A5802" t="s">
        <v>5909</v>
      </c>
      <c r="B5802">
        <v>534585</v>
      </c>
      <c r="C5802" s="2" t="str">
        <f>"ARG-13"</f>
        <v>ARG-13</v>
      </c>
      <c r="D5802" t="s">
        <v>5913</v>
      </c>
      <c r="E5802" t="s">
        <v>4</v>
      </c>
      <c r="F5802">
        <v>24</v>
      </c>
      <c r="H5802" t="s">
        <v>5</v>
      </c>
      <c r="I5802" s="1">
        <v>52.34</v>
      </c>
      <c r="J5802" s="1">
        <v>50.93</v>
      </c>
      <c r="K5802" t="s">
        <v>6</v>
      </c>
    </row>
    <row r="5803" spans="1:12">
      <c r="A5803" t="s">
        <v>5909</v>
      </c>
      <c r="B5803">
        <v>534580</v>
      </c>
      <c r="C5803" s="2" t="str">
        <f>"ARG-16"</f>
        <v>ARG-16</v>
      </c>
      <c r="D5803" t="s">
        <v>5914</v>
      </c>
      <c r="E5803" t="s">
        <v>4</v>
      </c>
      <c r="F5803">
        <v>23</v>
      </c>
      <c r="H5803" t="s">
        <v>5</v>
      </c>
      <c r="I5803" s="1">
        <v>36.33</v>
      </c>
      <c r="J5803" s="1">
        <v>35.35</v>
      </c>
      <c r="K5803" t="s">
        <v>6</v>
      </c>
    </row>
    <row r="5804" spans="1:12">
      <c r="A5804" t="s">
        <v>5909</v>
      </c>
      <c r="B5804">
        <v>534556</v>
      </c>
      <c r="C5804" s="2" t="str">
        <f>"ARG-2"</f>
        <v>ARG-2</v>
      </c>
      <c r="D5804" t="s">
        <v>5915</v>
      </c>
      <c r="E5804" t="s">
        <v>4</v>
      </c>
      <c r="F5804">
        <v>19</v>
      </c>
      <c r="H5804" t="s">
        <v>5</v>
      </c>
      <c r="I5804" s="1">
        <v>33.299999999999997</v>
      </c>
      <c r="J5804" s="1">
        <v>32.4</v>
      </c>
      <c r="K5804" t="s">
        <v>6</v>
      </c>
    </row>
    <row r="5805" spans="1:12">
      <c r="A5805" t="s">
        <v>5909</v>
      </c>
      <c r="B5805">
        <v>534582</v>
      </c>
      <c r="C5805" s="2" t="str">
        <f>"ARG-21"</f>
        <v>ARG-21</v>
      </c>
      <c r="D5805" t="s">
        <v>5916</v>
      </c>
      <c r="E5805" t="s">
        <v>4</v>
      </c>
      <c r="F5805">
        <v>33</v>
      </c>
      <c r="H5805" t="s">
        <v>5</v>
      </c>
      <c r="I5805" s="1">
        <v>77.16</v>
      </c>
      <c r="J5805" s="1">
        <v>75.069999999999993</v>
      </c>
      <c r="K5805" t="s">
        <v>6</v>
      </c>
    </row>
    <row r="5806" spans="1:12">
      <c r="A5806" t="s">
        <v>5909</v>
      </c>
      <c r="B5806">
        <v>534573</v>
      </c>
      <c r="C5806" s="2" t="str">
        <f>"ARG-5"</f>
        <v>ARG-5</v>
      </c>
      <c r="D5806" t="s">
        <v>5917</v>
      </c>
      <c r="E5806" t="s">
        <v>4</v>
      </c>
      <c r="F5806">
        <v>16</v>
      </c>
      <c r="H5806" t="s">
        <v>5</v>
      </c>
      <c r="I5806" s="1">
        <v>31.43</v>
      </c>
      <c r="J5806" s="1">
        <v>30.58</v>
      </c>
      <c r="K5806" t="s">
        <v>6</v>
      </c>
    </row>
    <row r="5807" spans="1:12">
      <c r="A5807" t="s">
        <v>5909</v>
      </c>
      <c r="B5807">
        <v>534574</v>
      </c>
      <c r="C5807" s="2" t="str">
        <f>"ARG-6"</f>
        <v>ARG-6</v>
      </c>
      <c r="D5807" t="s">
        <v>5918</v>
      </c>
      <c r="E5807" t="s">
        <v>4</v>
      </c>
      <c r="F5807">
        <v>22</v>
      </c>
      <c r="H5807" t="s">
        <v>5</v>
      </c>
      <c r="I5807" s="1">
        <v>37.630000000000003</v>
      </c>
      <c r="J5807" s="1">
        <v>36.61</v>
      </c>
      <c r="K5807" t="s">
        <v>6</v>
      </c>
    </row>
    <row r="5808" spans="1:12">
      <c r="A5808" t="s">
        <v>5909</v>
      </c>
      <c r="B5808">
        <v>534575</v>
      </c>
      <c r="C5808" s="2" t="str">
        <f>"ARG-7"</f>
        <v>ARG-7</v>
      </c>
      <c r="D5808" t="s">
        <v>5919</v>
      </c>
      <c r="E5808" t="s">
        <v>4</v>
      </c>
      <c r="F5808">
        <v>18</v>
      </c>
      <c r="H5808" t="s">
        <v>5</v>
      </c>
      <c r="I5808" s="1">
        <v>52.29</v>
      </c>
      <c r="J5808" s="1">
        <v>50.88</v>
      </c>
      <c r="K5808" t="s">
        <v>6</v>
      </c>
    </row>
    <row r="5809" spans="1:11">
      <c r="A5809" t="s">
        <v>5909</v>
      </c>
      <c r="B5809">
        <v>534577</v>
      </c>
      <c r="C5809" s="2" t="str">
        <f>"ARG-8"</f>
        <v>ARG-8</v>
      </c>
      <c r="D5809" t="s">
        <v>5920</v>
      </c>
      <c r="E5809" t="s">
        <v>4</v>
      </c>
      <c r="F5809">
        <v>31</v>
      </c>
      <c r="H5809" t="s">
        <v>5</v>
      </c>
      <c r="I5809" s="1">
        <v>54.24</v>
      </c>
      <c r="J5809" s="1">
        <v>52.77</v>
      </c>
      <c r="K5809" t="s">
        <v>6</v>
      </c>
    </row>
    <row r="5810" spans="1:11">
      <c r="A5810" t="s">
        <v>5909</v>
      </c>
      <c r="B5810">
        <v>534578</v>
      </c>
      <c r="C5810" s="2" t="str">
        <f>"ARG-9"</f>
        <v>ARG-9</v>
      </c>
      <c r="D5810" t="s">
        <v>5921</v>
      </c>
      <c r="E5810" t="s">
        <v>4</v>
      </c>
      <c r="F5810">
        <v>40</v>
      </c>
      <c r="H5810" t="s">
        <v>5</v>
      </c>
      <c r="I5810" s="1">
        <v>58.94</v>
      </c>
      <c r="J5810" s="1">
        <v>57.35</v>
      </c>
      <c r="K5810" t="s">
        <v>6</v>
      </c>
    </row>
    <row r="5811" spans="1:11">
      <c r="A5811" t="s">
        <v>5909</v>
      </c>
      <c r="B5811">
        <v>534605</v>
      </c>
      <c r="C5811" s="2" t="str">
        <f>"AST-3-P"</f>
        <v>AST-3-P</v>
      </c>
      <c r="D5811" t="s">
        <v>5922</v>
      </c>
      <c r="E5811" t="s">
        <v>4</v>
      </c>
      <c r="F5811">
        <v>28</v>
      </c>
      <c r="H5811" t="s">
        <v>5</v>
      </c>
      <c r="I5811" s="1">
        <v>73.260000000000005</v>
      </c>
      <c r="J5811" s="1">
        <v>71.28</v>
      </c>
      <c r="K5811" t="s">
        <v>6</v>
      </c>
    </row>
    <row r="5812" spans="1:11">
      <c r="A5812" t="s">
        <v>5909</v>
      </c>
      <c r="B5812">
        <v>534568</v>
      </c>
      <c r="C5812" s="2" t="str">
        <f>"CAT-10"</f>
        <v>CAT-10</v>
      </c>
      <c r="D5812" t="s">
        <v>5923</v>
      </c>
      <c r="E5812" t="s">
        <v>4</v>
      </c>
      <c r="F5812">
        <v>24</v>
      </c>
      <c r="H5812" t="s">
        <v>5</v>
      </c>
      <c r="I5812" s="1">
        <v>55.09</v>
      </c>
      <c r="J5812" s="1">
        <v>53.6</v>
      </c>
      <c r="K5812" t="s">
        <v>6</v>
      </c>
    </row>
    <row r="5813" spans="1:11">
      <c r="A5813" t="s">
        <v>5909</v>
      </c>
      <c r="B5813">
        <v>534566</v>
      </c>
      <c r="C5813" s="2" t="str">
        <f>"CAT-11"</f>
        <v>CAT-11</v>
      </c>
      <c r="D5813" t="s">
        <v>5924</v>
      </c>
      <c r="E5813" t="s">
        <v>4</v>
      </c>
      <c r="F5813">
        <v>14</v>
      </c>
      <c r="H5813" t="s">
        <v>5</v>
      </c>
      <c r="I5813" s="1">
        <v>25.12</v>
      </c>
      <c r="J5813" s="1">
        <v>24.44</v>
      </c>
      <c r="K5813" t="s">
        <v>6</v>
      </c>
    </row>
    <row r="5814" spans="1:11">
      <c r="A5814" t="s">
        <v>5909</v>
      </c>
      <c r="B5814">
        <v>534588</v>
      </c>
      <c r="C5814" s="2" t="str">
        <f>"CAT-12"</f>
        <v>CAT-12</v>
      </c>
      <c r="D5814" t="s">
        <v>5925</v>
      </c>
      <c r="E5814" t="s">
        <v>4</v>
      </c>
      <c r="F5814">
        <v>35</v>
      </c>
      <c r="H5814" t="s">
        <v>5</v>
      </c>
      <c r="I5814" s="1">
        <v>68.22</v>
      </c>
      <c r="J5814" s="1">
        <v>66.38</v>
      </c>
      <c r="K5814" t="s">
        <v>6</v>
      </c>
    </row>
    <row r="5815" spans="1:11">
      <c r="A5815" t="s">
        <v>5909</v>
      </c>
      <c r="B5815">
        <v>534590</v>
      </c>
      <c r="C5815" s="2" t="str">
        <f>"CAT-13"</f>
        <v>CAT-13</v>
      </c>
      <c r="D5815" t="s">
        <v>5926</v>
      </c>
      <c r="E5815" t="s">
        <v>4</v>
      </c>
      <c r="F5815">
        <v>29</v>
      </c>
      <c r="H5815" t="s">
        <v>5</v>
      </c>
      <c r="I5815" s="1">
        <v>50.6</v>
      </c>
      <c r="J5815" s="1">
        <v>49.23</v>
      </c>
      <c r="K5815" t="s">
        <v>6</v>
      </c>
    </row>
    <row r="5816" spans="1:11">
      <c r="A5816" t="s">
        <v>5909</v>
      </c>
      <c r="B5816">
        <v>534591</v>
      </c>
      <c r="C5816" s="2" t="str">
        <f>"CAT-14"</f>
        <v>CAT-14</v>
      </c>
      <c r="D5816" t="s">
        <v>5927</v>
      </c>
      <c r="E5816" t="s">
        <v>4</v>
      </c>
      <c r="F5816">
        <v>40</v>
      </c>
      <c r="H5816" t="s">
        <v>5</v>
      </c>
      <c r="I5816" s="1">
        <v>71.239999999999995</v>
      </c>
      <c r="J5816" s="1">
        <v>69.319999999999993</v>
      </c>
      <c r="K5816" t="s">
        <v>6</v>
      </c>
    </row>
    <row r="5817" spans="1:11">
      <c r="A5817" t="s">
        <v>5909</v>
      </c>
      <c r="B5817">
        <v>534600</v>
      </c>
      <c r="C5817" s="2" t="str">
        <f>"CAT-16"</f>
        <v>CAT-16</v>
      </c>
      <c r="D5817" t="s">
        <v>5928</v>
      </c>
      <c r="E5817" t="s">
        <v>4</v>
      </c>
      <c r="F5817">
        <v>26</v>
      </c>
      <c r="H5817" t="s">
        <v>5</v>
      </c>
      <c r="I5817" s="1">
        <v>36.799999999999997</v>
      </c>
      <c r="J5817" s="1">
        <v>35.799999999999997</v>
      </c>
      <c r="K5817" t="s">
        <v>6</v>
      </c>
    </row>
    <row r="5818" spans="1:11">
      <c r="A5818" t="s">
        <v>5909</v>
      </c>
      <c r="B5818">
        <v>534571</v>
      </c>
      <c r="C5818" s="2" t="str">
        <f>"CAT-18"</f>
        <v>CAT-18</v>
      </c>
      <c r="D5818" t="s">
        <v>5929</v>
      </c>
      <c r="E5818" t="s">
        <v>4</v>
      </c>
      <c r="F5818">
        <v>40</v>
      </c>
      <c r="H5818" t="s">
        <v>5</v>
      </c>
      <c r="I5818" s="1">
        <v>58.09</v>
      </c>
      <c r="J5818" s="1">
        <v>56.52</v>
      </c>
      <c r="K5818" t="s">
        <v>6</v>
      </c>
    </row>
    <row r="5819" spans="1:11">
      <c r="A5819" t="s">
        <v>5909</v>
      </c>
      <c r="B5819">
        <v>534570</v>
      </c>
      <c r="C5819" s="2" t="str">
        <f>"CAT-24"</f>
        <v>CAT-24</v>
      </c>
      <c r="D5819" t="s">
        <v>5930</v>
      </c>
      <c r="E5819" t="s">
        <v>4</v>
      </c>
      <c r="F5819">
        <v>22</v>
      </c>
      <c r="H5819" t="s">
        <v>5</v>
      </c>
      <c r="I5819" s="1">
        <v>52.07</v>
      </c>
      <c r="J5819" s="1">
        <v>50.66</v>
      </c>
      <c r="K5819" t="s">
        <v>6</v>
      </c>
    </row>
    <row r="5820" spans="1:11">
      <c r="A5820" t="s">
        <v>5909</v>
      </c>
      <c r="B5820">
        <v>534561</v>
      </c>
      <c r="C5820" s="2" t="str">
        <f>"CAT-4"</f>
        <v>CAT-4</v>
      </c>
      <c r="D5820" t="s">
        <v>5931</v>
      </c>
      <c r="E5820" t="s">
        <v>4</v>
      </c>
      <c r="F5820">
        <v>17</v>
      </c>
      <c r="H5820" t="s">
        <v>5</v>
      </c>
      <c r="I5820" s="1">
        <v>38.94</v>
      </c>
      <c r="J5820" s="1">
        <v>37.89</v>
      </c>
      <c r="K5820" t="s">
        <v>6</v>
      </c>
    </row>
    <row r="5821" spans="1:11">
      <c r="A5821" t="s">
        <v>5909</v>
      </c>
      <c r="B5821">
        <v>534593</v>
      </c>
      <c r="C5821" s="2" t="str">
        <f>"CAT-5"</f>
        <v>CAT-5</v>
      </c>
      <c r="D5821" t="s">
        <v>5932</v>
      </c>
      <c r="E5821" t="s">
        <v>4</v>
      </c>
      <c r="F5821">
        <v>19</v>
      </c>
      <c r="H5821" t="s">
        <v>5</v>
      </c>
      <c r="I5821" s="1">
        <v>31.4</v>
      </c>
      <c r="J5821" s="1">
        <v>30.56</v>
      </c>
      <c r="K5821" t="s">
        <v>6</v>
      </c>
    </row>
    <row r="5822" spans="1:11">
      <c r="A5822" t="s">
        <v>5909</v>
      </c>
      <c r="B5822">
        <v>534595</v>
      </c>
      <c r="C5822" s="2" t="str">
        <f>"CAT-6"</f>
        <v>CAT-6</v>
      </c>
      <c r="D5822" t="s">
        <v>5933</v>
      </c>
      <c r="E5822" t="s">
        <v>4</v>
      </c>
      <c r="F5822">
        <v>20</v>
      </c>
      <c r="H5822" t="s">
        <v>5</v>
      </c>
      <c r="I5822" s="1">
        <v>35.619999999999997</v>
      </c>
      <c r="J5822" s="1">
        <v>34.659999999999997</v>
      </c>
      <c r="K5822" t="s">
        <v>6</v>
      </c>
    </row>
    <row r="5823" spans="1:11">
      <c r="A5823" t="s">
        <v>5909</v>
      </c>
      <c r="B5823">
        <v>534596</v>
      </c>
      <c r="C5823" s="2" t="str">
        <f>"CAT-7"</f>
        <v>CAT-7</v>
      </c>
      <c r="D5823" t="s">
        <v>5934</v>
      </c>
      <c r="E5823" t="s">
        <v>4</v>
      </c>
      <c r="F5823">
        <v>31</v>
      </c>
      <c r="H5823" t="s">
        <v>5</v>
      </c>
      <c r="I5823" s="1">
        <v>47.53</v>
      </c>
      <c r="J5823" s="1">
        <v>46.25</v>
      </c>
      <c r="K5823" t="s">
        <v>6</v>
      </c>
    </row>
    <row r="5824" spans="1:11">
      <c r="A5824" t="s">
        <v>5909</v>
      </c>
      <c r="B5824">
        <v>534598</v>
      </c>
      <c r="C5824" s="2" t="str">
        <f>"CAT-8"</f>
        <v>CAT-8</v>
      </c>
      <c r="D5824" t="s">
        <v>5935</v>
      </c>
      <c r="E5824" t="s">
        <v>4</v>
      </c>
      <c r="F5824">
        <v>33</v>
      </c>
      <c r="H5824" t="s">
        <v>5</v>
      </c>
      <c r="I5824" s="1">
        <v>54.24</v>
      </c>
      <c r="J5824" s="1">
        <v>52.77</v>
      </c>
      <c r="K5824" t="s">
        <v>6</v>
      </c>
    </row>
    <row r="5825" spans="1:11">
      <c r="A5825" t="s">
        <v>5909</v>
      </c>
      <c r="B5825">
        <v>534603</v>
      </c>
      <c r="C5825" s="2" t="str">
        <f>"CRE-3-PR"</f>
        <v>CRE-3-PR</v>
      </c>
      <c r="D5825" t="s">
        <v>5936</v>
      </c>
      <c r="E5825" t="s">
        <v>4</v>
      </c>
      <c r="F5825">
        <v>14</v>
      </c>
      <c r="H5825" t="s">
        <v>5</v>
      </c>
      <c r="I5825" s="1">
        <v>61.44</v>
      </c>
      <c r="J5825" s="1">
        <v>59.78</v>
      </c>
      <c r="K5825" t="s">
        <v>6</v>
      </c>
    </row>
    <row r="5826" spans="1:11">
      <c r="A5826" t="s">
        <v>5909</v>
      </c>
      <c r="B5826">
        <v>534551</v>
      </c>
      <c r="C5826" s="2" t="str">
        <f>"CRE-6-V"</f>
        <v>CRE-6-V</v>
      </c>
      <c r="D5826" t="s">
        <v>5937</v>
      </c>
      <c r="E5826" t="s">
        <v>4</v>
      </c>
      <c r="F5826">
        <v>12</v>
      </c>
      <c r="H5826" t="s">
        <v>5</v>
      </c>
      <c r="I5826" s="1">
        <v>63.07</v>
      </c>
      <c r="J5826" s="1">
        <v>61.37</v>
      </c>
      <c r="K5826" t="s">
        <v>6</v>
      </c>
    </row>
    <row r="5827" spans="1:11">
      <c r="A5827" t="s">
        <v>5909</v>
      </c>
      <c r="B5827">
        <v>534509</v>
      </c>
      <c r="C5827" s="2" t="str">
        <f>"CRV-1"</f>
        <v>CRV-1</v>
      </c>
      <c r="D5827" t="s">
        <v>5938</v>
      </c>
      <c r="E5827" t="s">
        <v>4</v>
      </c>
      <c r="F5827">
        <v>26</v>
      </c>
      <c r="H5827" t="s">
        <v>5</v>
      </c>
      <c r="I5827" s="1">
        <v>48.07</v>
      </c>
      <c r="J5827" s="1">
        <v>46.77</v>
      </c>
      <c r="K5827" t="s">
        <v>6</v>
      </c>
    </row>
    <row r="5828" spans="1:11">
      <c r="A5828" t="s">
        <v>5909</v>
      </c>
      <c r="B5828">
        <v>534513</v>
      </c>
      <c r="C5828" s="2" t="str">
        <f>"CRV-11"</f>
        <v>CRV-11</v>
      </c>
      <c r="D5828" t="s">
        <v>5939</v>
      </c>
      <c r="E5828" t="s">
        <v>4</v>
      </c>
      <c r="F5828">
        <v>17</v>
      </c>
      <c r="H5828" t="s">
        <v>5</v>
      </c>
      <c r="I5828" s="1">
        <v>35.69</v>
      </c>
      <c r="J5828" s="1">
        <v>34.729999999999997</v>
      </c>
      <c r="K5828" t="s">
        <v>6</v>
      </c>
    </row>
    <row r="5829" spans="1:11">
      <c r="A5829" t="s">
        <v>5909</v>
      </c>
      <c r="B5829">
        <v>534517</v>
      </c>
      <c r="C5829" s="2" t="str">
        <f>"CRV-12"</f>
        <v>CRV-12</v>
      </c>
      <c r="D5829" t="s">
        <v>5940</v>
      </c>
      <c r="E5829" t="s">
        <v>4</v>
      </c>
      <c r="F5829">
        <v>36</v>
      </c>
      <c r="H5829" t="s">
        <v>5</v>
      </c>
      <c r="I5829" s="1">
        <v>90.37</v>
      </c>
      <c r="J5829" s="1">
        <v>87.93</v>
      </c>
      <c r="K5829" t="s">
        <v>6</v>
      </c>
    </row>
    <row r="5830" spans="1:11">
      <c r="A5830" t="s">
        <v>5909</v>
      </c>
      <c r="B5830">
        <v>534518</v>
      </c>
      <c r="C5830" s="2" t="str">
        <f>"CRV-13"</f>
        <v>CRV-13</v>
      </c>
      <c r="D5830" t="s">
        <v>5941</v>
      </c>
      <c r="E5830" t="s">
        <v>4</v>
      </c>
      <c r="F5830">
        <v>28</v>
      </c>
      <c r="H5830" t="s">
        <v>5</v>
      </c>
      <c r="I5830" s="1">
        <v>64.849999999999994</v>
      </c>
      <c r="J5830" s="1">
        <v>63.09</v>
      </c>
      <c r="K5830" t="s">
        <v>6</v>
      </c>
    </row>
    <row r="5831" spans="1:11">
      <c r="A5831" t="s">
        <v>5909</v>
      </c>
      <c r="B5831">
        <v>534519</v>
      </c>
      <c r="C5831" s="2" t="str">
        <f>"CRV-14"</f>
        <v>CRV-14</v>
      </c>
      <c r="D5831" t="s">
        <v>5942</v>
      </c>
      <c r="E5831" t="s">
        <v>4</v>
      </c>
      <c r="F5831">
        <v>36</v>
      </c>
      <c r="H5831" t="s">
        <v>5</v>
      </c>
      <c r="I5831" s="1">
        <v>84.86</v>
      </c>
      <c r="J5831" s="1">
        <v>82.56</v>
      </c>
      <c r="K5831" t="s">
        <v>6</v>
      </c>
    </row>
    <row r="5832" spans="1:11">
      <c r="A5832" t="s">
        <v>5909</v>
      </c>
      <c r="B5832">
        <v>534516</v>
      </c>
      <c r="C5832" s="2" t="str">
        <f>"CRV-15"</f>
        <v>CRV-15</v>
      </c>
      <c r="D5832" t="s">
        <v>5943</v>
      </c>
      <c r="E5832" t="s">
        <v>4</v>
      </c>
      <c r="F5832">
        <v>33</v>
      </c>
      <c r="H5832" t="s">
        <v>5</v>
      </c>
      <c r="I5832" s="1">
        <v>76.36</v>
      </c>
      <c r="J5832" s="1">
        <v>74.3</v>
      </c>
      <c r="K5832" t="s">
        <v>6</v>
      </c>
    </row>
    <row r="5833" spans="1:11">
      <c r="A5833" t="s">
        <v>5909</v>
      </c>
      <c r="B5833">
        <v>534525</v>
      </c>
      <c r="C5833" s="2" t="str">
        <f>"CRV-16"</f>
        <v>CRV-16</v>
      </c>
      <c r="D5833" t="s">
        <v>5944</v>
      </c>
      <c r="E5833" t="s">
        <v>4</v>
      </c>
      <c r="F5833">
        <v>28</v>
      </c>
      <c r="H5833" t="s">
        <v>5</v>
      </c>
      <c r="I5833" s="1">
        <v>44.82</v>
      </c>
      <c r="J5833" s="1">
        <v>43.61</v>
      </c>
      <c r="K5833" t="s">
        <v>6</v>
      </c>
    </row>
    <row r="5834" spans="1:11">
      <c r="A5834" t="s">
        <v>5909</v>
      </c>
      <c r="B5834">
        <v>534510</v>
      </c>
      <c r="C5834" s="2" t="str">
        <f>"CRV-17"</f>
        <v>CRV-17</v>
      </c>
      <c r="D5834" t="s">
        <v>5945</v>
      </c>
      <c r="E5834" t="s">
        <v>4</v>
      </c>
      <c r="F5834">
        <v>30</v>
      </c>
      <c r="H5834" t="s">
        <v>5</v>
      </c>
      <c r="I5834" s="1">
        <v>75.36</v>
      </c>
      <c r="J5834" s="1">
        <v>73.33</v>
      </c>
      <c r="K5834" t="s">
        <v>6</v>
      </c>
    </row>
    <row r="5835" spans="1:11">
      <c r="A5835" t="s">
        <v>5909</v>
      </c>
      <c r="B5835">
        <v>534512</v>
      </c>
      <c r="C5835" s="2" t="str">
        <f>"CRV-4"</f>
        <v>CRV-4</v>
      </c>
      <c r="D5835" t="s">
        <v>5946</v>
      </c>
      <c r="E5835" t="s">
        <v>4</v>
      </c>
      <c r="F5835">
        <v>22</v>
      </c>
      <c r="H5835" t="s">
        <v>5</v>
      </c>
      <c r="I5835" s="1">
        <v>46.6</v>
      </c>
      <c r="J5835" s="1">
        <v>45.34</v>
      </c>
      <c r="K5835" t="s">
        <v>6</v>
      </c>
    </row>
    <row r="5836" spans="1:11">
      <c r="A5836" t="s">
        <v>5909</v>
      </c>
      <c r="B5836">
        <v>534520</v>
      </c>
      <c r="C5836" s="2" t="str">
        <f>"CRV-5"</f>
        <v>CRV-5</v>
      </c>
      <c r="D5836" t="s">
        <v>5947</v>
      </c>
      <c r="E5836" t="s">
        <v>4</v>
      </c>
      <c r="F5836">
        <v>19</v>
      </c>
      <c r="H5836" t="s">
        <v>5</v>
      </c>
      <c r="I5836" s="1">
        <v>38.659999999999997</v>
      </c>
      <c r="J5836" s="1">
        <v>37.61</v>
      </c>
      <c r="K5836" t="s">
        <v>6</v>
      </c>
    </row>
    <row r="5837" spans="1:11">
      <c r="A5837" t="s">
        <v>5909</v>
      </c>
      <c r="B5837">
        <v>534521</v>
      </c>
      <c r="C5837" s="2" t="str">
        <f>"CRV-6"</f>
        <v>CRV-6</v>
      </c>
      <c r="D5837" t="s">
        <v>5948</v>
      </c>
      <c r="E5837" t="s">
        <v>4</v>
      </c>
      <c r="F5837">
        <v>26</v>
      </c>
      <c r="H5837" t="s">
        <v>5</v>
      </c>
      <c r="I5837" s="1">
        <v>46.73</v>
      </c>
      <c r="J5837" s="1">
        <v>45.47</v>
      </c>
      <c r="K5837" t="s">
        <v>6</v>
      </c>
    </row>
    <row r="5838" spans="1:11">
      <c r="A5838" t="s">
        <v>5909</v>
      </c>
      <c r="B5838">
        <v>534522</v>
      </c>
      <c r="C5838" s="2" t="str">
        <f>"CRV-7"</f>
        <v>CRV-7</v>
      </c>
      <c r="D5838" t="s">
        <v>5949</v>
      </c>
      <c r="E5838" t="s">
        <v>4</v>
      </c>
      <c r="F5838">
        <v>33</v>
      </c>
      <c r="H5838" t="s">
        <v>5</v>
      </c>
      <c r="I5838" s="1">
        <v>51.82</v>
      </c>
      <c r="J5838" s="1">
        <v>50.41</v>
      </c>
      <c r="K5838" t="s">
        <v>6</v>
      </c>
    </row>
    <row r="5839" spans="1:11">
      <c r="A5839" t="s">
        <v>5909</v>
      </c>
      <c r="B5839">
        <v>534523</v>
      </c>
      <c r="C5839" s="2" t="str">
        <f>"CRV-8"</f>
        <v>CRV-8</v>
      </c>
      <c r="D5839" t="s">
        <v>5950</v>
      </c>
      <c r="E5839" t="s">
        <v>4</v>
      </c>
      <c r="F5839">
        <v>27</v>
      </c>
      <c r="H5839" t="s">
        <v>5</v>
      </c>
      <c r="I5839" s="1">
        <v>59.49</v>
      </c>
      <c r="J5839" s="1">
        <v>57.88</v>
      </c>
      <c r="K5839" t="s">
        <v>6</v>
      </c>
    </row>
    <row r="5840" spans="1:11">
      <c r="A5840" t="s">
        <v>5909</v>
      </c>
      <c r="B5840">
        <v>534524</v>
      </c>
      <c r="C5840" s="2" t="str">
        <f>"CRV-9"</f>
        <v>CRV-9</v>
      </c>
      <c r="D5840" t="s">
        <v>5951</v>
      </c>
      <c r="E5840" t="s">
        <v>4</v>
      </c>
      <c r="F5840">
        <v>42</v>
      </c>
      <c r="H5840" t="s">
        <v>5</v>
      </c>
      <c r="I5840" s="1">
        <v>64.930000000000007</v>
      </c>
      <c r="J5840" s="1">
        <v>63.18</v>
      </c>
      <c r="K5840" t="s">
        <v>6</v>
      </c>
    </row>
    <row r="5841" spans="1:11">
      <c r="A5841" t="s">
        <v>5909</v>
      </c>
      <c r="B5841">
        <v>534607</v>
      </c>
      <c r="C5841" s="2" t="str">
        <f>"CSC-1"</f>
        <v>CSC-1</v>
      </c>
      <c r="D5841" t="s">
        <v>5952</v>
      </c>
      <c r="E5841" t="s">
        <v>4</v>
      </c>
      <c r="F5841">
        <v>26</v>
      </c>
      <c r="H5841" t="s">
        <v>5</v>
      </c>
      <c r="I5841" s="1">
        <v>46.95</v>
      </c>
      <c r="J5841" s="1">
        <v>45.68</v>
      </c>
      <c r="K5841" t="s">
        <v>6</v>
      </c>
    </row>
    <row r="5842" spans="1:11">
      <c r="A5842" t="s">
        <v>5909</v>
      </c>
      <c r="B5842">
        <v>534615</v>
      </c>
      <c r="C5842" s="2" t="str">
        <f>"CSC-11"</f>
        <v>CSC-11</v>
      </c>
      <c r="D5842" t="s">
        <v>5953</v>
      </c>
      <c r="E5842" t="s">
        <v>4</v>
      </c>
      <c r="F5842">
        <v>18</v>
      </c>
      <c r="H5842" t="s">
        <v>5</v>
      </c>
      <c r="I5842" s="1">
        <v>33.369999999999997</v>
      </c>
      <c r="J5842" s="1">
        <v>32.47</v>
      </c>
      <c r="K5842" t="s">
        <v>6</v>
      </c>
    </row>
    <row r="5843" spans="1:11">
      <c r="A5843" t="s">
        <v>5909</v>
      </c>
      <c r="B5843">
        <v>534622</v>
      </c>
      <c r="C5843" s="2" t="str">
        <f>"CSC-12"</f>
        <v>CSC-12</v>
      </c>
      <c r="D5843" t="s">
        <v>5954</v>
      </c>
      <c r="E5843" t="s">
        <v>4</v>
      </c>
      <c r="F5843">
        <v>41</v>
      </c>
      <c r="H5843" t="s">
        <v>5</v>
      </c>
      <c r="I5843" s="1">
        <v>93.46</v>
      </c>
      <c r="J5843" s="1">
        <v>90.93</v>
      </c>
      <c r="K5843" t="s">
        <v>6</v>
      </c>
    </row>
    <row r="5844" spans="1:11">
      <c r="A5844" t="s">
        <v>5909</v>
      </c>
      <c r="B5844">
        <v>534623</v>
      </c>
      <c r="C5844" s="2" t="str">
        <f>"CSC-13"</f>
        <v>CSC-13</v>
      </c>
      <c r="D5844" t="s">
        <v>5955</v>
      </c>
      <c r="E5844" t="s">
        <v>4</v>
      </c>
      <c r="F5844">
        <v>33</v>
      </c>
      <c r="H5844" t="s">
        <v>5</v>
      </c>
      <c r="I5844" s="1">
        <v>68.459999999999994</v>
      </c>
      <c r="J5844" s="1">
        <v>66.61</v>
      </c>
      <c r="K5844" t="s">
        <v>6</v>
      </c>
    </row>
    <row r="5845" spans="1:11">
      <c r="A5845" t="s">
        <v>5909</v>
      </c>
      <c r="B5845">
        <v>534621</v>
      </c>
      <c r="C5845" s="2" t="str">
        <f>"CSC-16"</f>
        <v>CSC-16</v>
      </c>
      <c r="D5845" t="s">
        <v>5956</v>
      </c>
      <c r="E5845" t="s">
        <v>4</v>
      </c>
      <c r="F5845">
        <v>27</v>
      </c>
      <c r="H5845" t="s">
        <v>5</v>
      </c>
      <c r="I5845" s="1">
        <v>45.49</v>
      </c>
      <c r="J5845" s="1">
        <v>44.26</v>
      </c>
      <c r="K5845" t="s">
        <v>6</v>
      </c>
    </row>
    <row r="5846" spans="1:11">
      <c r="A5846" t="s">
        <v>5909</v>
      </c>
      <c r="B5846">
        <v>534609</v>
      </c>
      <c r="C5846" s="2" t="str">
        <f>"CSC-2"</f>
        <v>CSC-2</v>
      </c>
      <c r="D5846" t="s">
        <v>5957</v>
      </c>
      <c r="E5846" t="s">
        <v>4</v>
      </c>
      <c r="F5846">
        <v>22</v>
      </c>
      <c r="H5846" t="s">
        <v>5</v>
      </c>
      <c r="I5846" s="1">
        <v>38.14</v>
      </c>
      <c r="J5846" s="1">
        <v>37.11</v>
      </c>
      <c r="K5846" t="s">
        <v>6</v>
      </c>
    </row>
    <row r="5847" spans="1:11">
      <c r="A5847" t="s">
        <v>5909</v>
      </c>
      <c r="B5847">
        <v>534612</v>
      </c>
      <c r="C5847" s="2" t="str">
        <f>"CSC-4"</f>
        <v>CSC-4</v>
      </c>
      <c r="D5847" t="s">
        <v>5958</v>
      </c>
      <c r="E5847" t="s">
        <v>4</v>
      </c>
      <c r="F5847">
        <v>21</v>
      </c>
      <c r="H5847" t="s">
        <v>5</v>
      </c>
      <c r="I5847" s="1">
        <v>49</v>
      </c>
      <c r="J5847" s="1">
        <v>47.67</v>
      </c>
      <c r="K5847" t="s">
        <v>6</v>
      </c>
    </row>
    <row r="5848" spans="1:11">
      <c r="A5848" t="s">
        <v>5909</v>
      </c>
      <c r="B5848">
        <v>534616</v>
      </c>
      <c r="C5848" s="2" t="str">
        <f>"CSC-6"</f>
        <v>CSC-6</v>
      </c>
      <c r="D5848" t="s">
        <v>5959</v>
      </c>
      <c r="E5848" t="s">
        <v>4</v>
      </c>
      <c r="F5848">
        <v>25</v>
      </c>
      <c r="H5848" t="s">
        <v>5</v>
      </c>
      <c r="I5848" s="1">
        <v>43.21</v>
      </c>
      <c r="J5848" s="1">
        <v>42.04</v>
      </c>
      <c r="K5848" t="s">
        <v>6</v>
      </c>
    </row>
    <row r="5849" spans="1:11">
      <c r="A5849" t="s">
        <v>5909</v>
      </c>
      <c r="B5849">
        <v>534617</v>
      </c>
      <c r="C5849" s="2" t="str">
        <f>"CSC-7"</f>
        <v>CSC-7</v>
      </c>
      <c r="D5849" t="s">
        <v>5960</v>
      </c>
      <c r="E5849" t="s">
        <v>4</v>
      </c>
      <c r="F5849">
        <v>31</v>
      </c>
      <c r="H5849" t="s">
        <v>5</v>
      </c>
      <c r="I5849" s="1">
        <v>55.59</v>
      </c>
      <c r="J5849" s="1">
        <v>54.09</v>
      </c>
      <c r="K5849" t="s">
        <v>6</v>
      </c>
    </row>
    <row r="5850" spans="1:11">
      <c r="A5850" t="s">
        <v>5909</v>
      </c>
      <c r="B5850">
        <v>534619</v>
      </c>
      <c r="C5850" s="2" t="str">
        <f>"CSC-8"</f>
        <v>CSC-8</v>
      </c>
      <c r="D5850" t="s">
        <v>5961</v>
      </c>
      <c r="E5850" t="s">
        <v>4</v>
      </c>
      <c r="F5850">
        <v>35</v>
      </c>
      <c r="H5850" t="s">
        <v>5</v>
      </c>
      <c r="I5850" s="1">
        <v>60.39</v>
      </c>
      <c r="J5850" s="1">
        <v>58.75</v>
      </c>
      <c r="K5850" t="s">
        <v>6</v>
      </c>
    </row>
    <row r="5851" spans="1:11">
      <c r="A5851" t="s">
        <v>5909</v>
      </c>
      <c r="B5851">
        <v>534620</v>
      </c>
      <c r="C5851" s="2" t="str">
        <f>"CSC-9"</f>
        <v>CSC-9</v>
      </c>
      <c r="D5851" t="s">
        <v>5962</v>
      </c>
      <c r="E5851" t="s">
        <v>4</v>
      </c>
      <c r="F5851">
        <v>51</v>
      </c>
      <c r="H5851" t="s">
        <v>5</v>
      </c>
      <c r="I5851" s="1">
        <v>69.540000000000006</v>
      </c>
      <c r="J5851" s="1">
        <v>67.66</v>
      </c>
      <c r="K5851" t="s">
        <v>6</v>
      </c>
    </row>
    <row r="5852" spans="1:11">
      <c r="A5852" t="s">
        <v>5909</v>
      </c>
      <c r="B5852">
        <v>534660</v>
      </c>
      <c r="C5852" s="2" t="str">
        <f>"NPT-C"</f>
        <v>NPT-C</v>
      </c>
      <c r="D5852" t="s">
        <v>5963</v>
      </c>
      <c r="E5852" t="s">
        <v>4</v>
      </c>
      <c r="F5852">
        <v>36</v>
      </c>
      <c r="H5852" t="s">
        <v>5</v>
      </c>
      <c r="I5852" s="1">
        <v>58.79</v>
      </c>
      <c r="J5852" s="1">
        <v>57.2</v>
      </c>
      <c r="K5852" t="s">
        <v>6</v>
      </c>
    </row>
    <row r="5853" spans="1:11">
      <c r="A5853" t="s">
        <v>5909</v>
      </c>
      <c r="B5853">
        <v>534662</v>
      </c>
      <c r="C5853" s="2" t="str">
        <f>"OSC-10-CB"</f>
        <v>OSC-10-CB</v>
      </c>
      <c r="D5853" t="s">
        <v>5964</v>
      </c>
      <c r="E5853" t="s">
        <v>4</v>
      </c>
      <c r="F5853">
        <v>25</v>
      </c>
      <c r="H5853" t="s">
        <v>5</v>
      </c>
      <c r="I5853" s="1">
        <v>42.45</v>
      </c>
      <c r="J5853" s="1">
        <v>41.3</v>
      </c>
      <c r="K5853" t="s">
        <v>6</v>
      </c>
    </row>
    <row r="5854" spans="1:11">
      <c r="A5854" t="s">
        <v>5909</v>
      </c>
      <c r="B5854">
        <v>534542</v>
      </c>
      <c r="C5854" s="2" t="str">
        <f>"OSC-10-V"</f>
        <v>OSC-10-V</v>
      </c>
      <c r="D5854" t="s">
        <v>5965</v>
      </c>
      <c r="E5854" t="s">
        <v>4</v>
      </c>
      <c r="F5854">
        <v>27</v>
      </c>
      <c r="H5854" t="s">
        <v>5</v>
      </c>
      <c r="I5854" s="1">
        <v>34.58</v>
      </c>
      <c r="J5854" s="1">
        <v>33.64</v>
      </c>
      <c r="K5854" t="s">
        <v>6</v>
      </c>
    </row>
    <row r="5855" spans="1:11">
      <c r="A5855" t="s">
        <v>5909</v>
      </c>
      <c r="B5855">
        <v>534663</v>
      </c>
      <c r="C5855" s="2" t="str">
        <f>"OSC-12-B"</f>
        <v>OSC-12-B</v>
      </c>
      <c r="D5855" t="s">
        <v>5966</v>
      </c>
      <c r="E5855" t="s">
        <v>4</v>
      </c>
      <c r="F5855">
        <v>29</v>
      </c>
      <c r="H5855" t="s">
        <v>5</v>
      </c>
      <c r="I5855" s="1">
        <v>46.61</v>
      </c>
      <c r="J5855" s="1">
        <v>45.35</v>
      </c>
      <c r="K5855" t="s">
        <v>6</v>
      </c>
    </row>
    <row r="5856" spans="1:11">
      <c r="A5856" t="s">
        <v>5909</v>
      </c>
      <c r="B5856">
        <v>534535</v>
      </c>
      <c r="C5856" s="2" t="str">
        <f>"RMK-2-V"</f>
        <v>RMK-2-V</v>
      </c>
      <c r="D5856" t="s">
        <v>5967</v>
      </c>
      <c r="E5856" t="s">
        <v>4</v>
      </c>
      <c r="F5856">
        <v>17</v>
      </c>
      <c r="H5856" t="s">
        <v>5</v>
      </c>
      <c r="I5856" s="1">
        <v>105.44</v>
      </c>
      <c r="J5856" s="1">
        <v>102.58</v>
      </c>
      <c r="K5856" t="s">
        <v>6</v>
      </c>
    </row>
    <row r="5857" spans="1:11">
      <c r="A5857" t="s">
        <v>5909</v>
      </c>
      <c r="B5857">
        <v>557263</v>
      </c>
      <c r="C5857" s="2" t="str">
        <f>"RMK-3-P"</f>
        <v>RMK-3-P</v>
      </c>
      <c r="D5857" t="s">
        <v>5968</v>
      </c>
      <c r="E5857" t="s">
        <v>4</v>
      </c>
      <c r="F5857">
        <v>13</v>
      </c>
      <c r="H5857" t="s">
        <v>5</v>
      </c>
      <c r="I5857" s="1">
        <v>62.37</v>
      </c>
      <c r="J5857" s="1">
        <v>60.7</v>
      </c>
      <c r="K5857" t="s">
        <v>6</v>
      </c>
    </row>
    <row r="5858" spans="1:11">
      <c r="A5858" t="s">
        <v>5909</v>
      </c>
      <c r="B5858">
        <v>534636</v>
      </c>
      <c r="C5858" s="2" t="str">
        <f>"RNR-11"</f>
        <v>RNR-11</v>
      </c>
      <c r="D5858" t="s">
        <v>5969</v>
      </c>
      <c r="E5858" t="s">
        <v>4</v>
      </c>
      <c r="F5858">
        <v>17</v>
      </c>
      <c r="H5858" t="s">
        <v>5</v>
      </c>
      <c r="I5858" s="1">
        <v>32.79</v>
      </c>
      <c r="J5858" s="1">
        <v>31.9</v>
      </c>
      <c r="K5858" t="s">
        <v>6</v>
      </c>
    </row>
    <row r="5859" spans="1:11">
      <c r="A5859" t="s">
        <v>5909</v>
      </c>
      <c r="B5859">
        <v>534637</v>
      </c>
      <c r="C5859" s="2" t="str">
        <f>"RNR-12"</f>
        <v>RNR-12</v>
      </c>
      <c r="D5859" t="s">
        <v>5970</v>
      </c>
      <c r="E5859" t="s">
        <v>4</v>
      </c>
      <c r="F5859">
        <v>37</v>
      </c>
      <c r="H5859" t="s">
        <v>5</v>
      </c>
      <c r="I5859" s="1">
        <v>89.27</v>
      </c>
      <c r="J5859" s="1">
        <v>86.86</v>
      </c>
      <c r="K5859" t="s">
        <v>6</v>
      </c>
    </row>
    <row r="5860" spans="1:11">
      <c r="A5860" t="s">
        <v>5909</v>
      </c>
      <c r="B5860">
        <v>534639</v>
      </c>
      <c r="C5860" s="2" t="str">
        <f>"RNR-13"</f>
        <v>RNR-13</v>
      </c>
      <c r="D5860" t="s">
        <v>5971</v>
      </c>
      <c r="E5860" t="s">
        <v>4</v>
      </c>
      <c r="F5860">
        <v>28</v>
      </c>
      <c r="H5860" t="s">
        <v>5</v>
      </c>
      <c r="I5860" s="1">
        <v>64.28</v>
      </c>
      <c r="J5860" s="1">
        <v>62.54</v>
      </c>
      <c r="K5860" t="s">
        <v>6</v>
      </c>
    </row>
    <row r="5861" spans="1:11">
      <c r="A5861" t="s">
        <v>5909</v>
      </c>
      <c r="B5861">
        <v>534640</v>
      </c>
      <c r="C5861" s="2" t="str">
        <f>"RNR-14"</f>
        <v>RNR-14</v>
      </c>
      <c r="D5861" t="s">
        <v>5972</v>
      </c>
      <c r="E5861" t="s">
        <v>4</v>
      </c>
      <c r="F5861">
        <v>35</v>
      </c>
      <c r="H5861" t="s">
        <v>5</v>
      </c>
      <c r="I5861" s="1">
        <v>86.19</v>
      </c>
      <c r="J5861" s="1">
        <v>83.86</v>
      </c>
      <c r="K5861" t="s">
        <v>6</v>
      </c>
    </row>
    <row r="5862" spans="1:11">
      <c r="A5862" t="s">
        <v>5909</v>
      </c>
      <c r="B5862">
        <v>534645</v>
      </c>
      <c r="C5862" s="2" t="str">
        <f>"RNR-16"</f>
        <v>RNR-16</v>
      </c>
      <c r="D5862" t="s">
        <v>5973</v>
      </c>
      <c r="E5862" t="s">
        <v>4</v>
      </c>
      <c r="F5862">
        <v>27</v>
      </c>
      <c r="H5862" t="s">
        <v>5</v>
      </c>
      <c r="I5862" s="1">
        <v>42.88</v>
      </c>
      <c r="J5862" s="1">
        <v>41.72</v>
      </c>
      <c r="K5862" t="s">
        <v>6</v>
      </c>
    </row>
    <row r="5863" spans="1:11">
      <c r="A5863" t="s">
        <v>5909</v>
      </c>
      <c r="B5863">
        <v>534641</v>
      </c>
      <c r="C5863" s="2" t="str">
        <f>"RNR-5"</f>
        <v>RNR-5</v>
      </c>
      <c r="D5863" t="s">
        <v>5974</v>
      </c>
      <c r="E5863" t="s">
        <v>4</v>
      </c>
      <c r="F5863">
        <v>18</v>
      </c>
      <c r="H5863" t="s">
        <v>5</v>
      </c>
      <c r="I5863" s="1">
        <v>42.77</v>
      </c>
      <c r="J5863" s="1">
        <v>41.61</v>
      </c>
      <c r="K5863" t="s">
        <v>6</v>
      </c>
    </row>
    <row r="5864" spans="1:11">
      <c r="A5864" t="s">
        <v>5909</v>
      </c>
      <c r="B5864">
        <v>534643</v>
      </c>
      <c r="C5864" s="2" t="str">
        <f>"RNR-6"</f>
        <v>RNR-6</v>
      </c>
      <c r="D5864" t="s">
        <v>5975</v>
      </c>
      <c r="E5864" t="s">
        <v>4</v>
      </c>
      <c r="F5864">
        <v>27</v>
      </c>
      <c r="H5864" t="s">
        <v>5</v>
      </c>
      <c r="I5864" s="1">
        <v>42.77</v>
      </c>
      <c r="J5864" s="1">
        <v>41.61</v>
      </c>
      <c r="K5864" t="s">
        <v>6</v>
      </c>
    </row>
    <row r="5865" spans="1:11">
      <c r="A5865" t="s">
        <v>5909</v>
      </c>
      <c r="B5865">
        <v>534644</v>
      </c>
      <c r="C5865" s="2" t="str">
        <f>"RNR-7"</f>
        <v>RNR-7</v>
      </c>
      <c r="D5865" t="s">
        <v>5976</v>
      </c>
      <c r="E5865" t="s">
        <v>4</v>
      </c>
      <c r="F5865">
        <v>32</v>
      </c>
      <c r="H5865" t="s">
        <v>5</v>
      </c>
      <c r="I5865" s="1">
        <v>51.7</v>
      </c>
      <c r="J5865" s="1">
        <v>50.3</v>
      </c>
      <c r="K5865" t="s">
        <v>6</v>
      </c>
    </row>
    <row r="5866" spans="1:11">
      <c r="A5866" t="s">
        <v>5909</v>
      </c>
      <c r="B5866">
        <v>534687</v>
      </c>
      <c r="C5866" s="2" t="str">
        <f>"RNR-8"</f>
        <v>RNR-8</v>
      </c>
      <c r="D5866" t="s">
        <v>5977</v>
      </c>
      <c r="E5866" t="s">
        <v>4</v>
      </c>
      <c r="F5866">
        <v>39</v>
      </c>
      <c r="H5866" t="s">
        <v>5</v>
      </c>
      <c r="I5866" s="1">
        <v>60.66</v>
      </c>
      <c r="J5866" s="1">
        <v>59.02</v>
      </c>
      <c r="K5866" t="s">
        <v>6</v>
      </c>
    </row>
    <row r="5867" spans="1:11">
      <c r="A5867" t="s">
        <v>5909</v>
      </c>
      <c r="B5867">
        <v>534651</v>
      </c>
      <c r="C5867" s="2" t="str">
        <f>"SAU-10"</f>
        <v>SAU-10</v>
      </c>
      <c r="D5867" t="s">
        <v>5978</v>
      </c>
      <c r="E5867" t="s">
        <v>4</v>
      </c>
      <c r="F5867">
        <v>25</v>
      </c>
      <c r="H5867" t="s">
        <v>5</v>
      </c>
      <c r="I5867" s="1">
        <v>98.15</v>
      </c>
      <c r="J5867" s="1">
        <v>95.5</v>
      </c>
      <c r="K5867" t="s">
        <v>6</v>
      </c>
    </row>
    <row r="5868" spans="1:11">
      <c r="A5868" t="s">
        <v>5909</v>
      </c>
      <c r="B5868">
        <v>534650</v>
      </c>
      <c r="C5868" s="2" t="str">
        <f>"SAU-11"</f>
        <v>SAU-11</v>
      </c>
      <c r="D5868" t="s">
        <v>5979</v>
      </c>
      <c r="E5868" t="s">
        <v>4</v>
      </c>
      <c r="F5868">
        <v>16</v>
      </c>
      <c r="H5868" t="s">
        <v>5</v>
      </c>
      <c r="I5868" s="1">
        <v>83.78</v>
      </c>
      <c r="J5868" s="1">
        <v>81.510000000000005</v>
      </c>
      <c r="K5868" t="s">
        <v>6</v>
      </c>
    </row>
    <row r="5869" spans="1:11">
      <c r="A5869" t="s">
        <v>5909</v>
      </c>
      <c r="B5869">
        <v>534659</v>
      </c>
      <c r="C5869" s="2" t="str">
        <f>"SAU-16"</f>
        <v>SAU-16</v>
      </c>
      <c r="D5869" t="s">
        <v>5980</v>
      </c>
      <c r="E5869" t="s">
        <v>4</v>
      </c>
      <c r="F5869">
        <v>24</v>
      </c>
      <c r="H5869" t="s">
        <v>5</v>
      </c>
      <c r="I5869" s="1">
        <v>65.540000000000006</v>
      </c>
      <c r="J5869" s="1">
        <v>63.77</v>
      </c>
      <c r="K5869" t="s">
        <v>6</v>
      </c>
    </row>
    <row r="5870" spans="1:11">
      <c r="A5870" t="s">
        <v>5909</v>
      </c>
      <c r="B5870">
        <v>534646</v>
      </c>
      <c r="C5870" s="2" t="str">
        <f>"SAU-1S"</f>
        <v>SAU-1S</v>
      </c>
      <c r="D5870" t="s">
        <v>5981</v>
      </c>
      <c r="E5870" t="s">
        <v>4</v>
      </c>
      <c r="F5870">
        <v>19</v>
      </c>
      <c r="H5870" t="s">
        <v>5</v>
      </c>
      <c r="I5870" s="1">
        <v>113.39</v>
      </c>
      <c r="J5870" s="1">
        <v>110.33</v>
      </c>
      <c r="K5870" t="s">
        <v>6</v>
      </c>
    </row>
    <row r="5871" spans="1:11">
      <c r="A5871" t="s">
        <v>5909</v>
      </c>
      <c r="B5871">
        <v>534648</v>
      </c>
      <c r="C5871" s="2" t="str">
        <f>"SAU-2"</f>
        <v>SAU-2</v>
      </c>
      <c r="D5871" t="s">
        <v>5982</v>
      </c>
      <c r="E5871" t="s">
        <v>4</v>
      </c>
      <c r="F5871">
        <v>16</v>
      </c>
      <c r="H5871" t="s">
        <v>5</v>
      </c>
      <c r="I5871" s="1">
        <v>69.63</v>
      </c>
      <c r="J5871" s="1">
        <v>67.75</v>
      </c>
      <c r="K5871" t="s">
        <v>6</v>
      </c>
    </row>
    <row r="5872" spans="1:11">
      <c r="A5872" t="s">
        <v>5909</v>
      </c>
      <c r="B5872">
        <v>534652</v>
      </c>
      <c r="C5872" s="2" t="str">
        <f>"SAU-3"</f>
        <v>SAU-3</v>
      </c>
      <c r="D5872" t="s">
        <v>5983</v>
      </c>
      <c r="E5872" t="s">
        <v>4</v>
      </c>
      <c r="F5872">
        <v>32</v>
      </c>
      <c r="H5872" t="s">
        <v>5</v>
      </c>
      <c r="I5872" s="1">
        <v>94.71</v>
      </c>
      <c r="J5872" s="1">
        <v>92.15</v>
      </c>
      <c r="K5872" t="s">
        <v>6</v>
      </c>
    </row>
    <row r="5873" spans="1:11">
      <c r="A5873" t="s">
        <v>5909</v>
      </c>
      <c r="B5873">
        <v>534647</v>
      </c>
      <c r="C5873" s="2" t="str">
        <f>"SAU-4"</f>
        <v>SAU-4</v>
      </c>
      <c r="D5873" t="s">
        <v>5984</v>
      </c>
      <c r="E5873" t="s">
        <v>4</v>
      </c>
      <c r="F5873">
        <v>18</v>
      </c>
      <c r="H5873" t="s">
        <v>5</v>
      </c>
      <c r="I5873" s="1">
        <v>82.47</v>
      </c>
      <c r="J5873" s="1">
        <v>80.239999999999995</v>
      </c>
      <c r="K5873" t="s">
        <v>6</v>
      </c>
    </row>
    <row r="5874" spans="1:11">
      <c r="A5874" t="s">
        <v>5909</v>
      </c>
      <c r="B5874">
        <v>534653</v>
      </c>
      <c r="C5874" s="2" t="str">
        <f>"SAU-6"</f>
        <v>SAU-6</v>
      </c>
      <c r="D5874" t="s">
        <v>5985</v>
      </c>
      <c r="E5874" t="s">
        <v>4</v>
      </c>
      <c r="F5874">
        <v>21</v>
      </c>
      <c r="H5874" t="s">
        <v>5</v>
      </c>
      <c r="I5874" s="1">
        <v>78.5</v>
      </c>
      <c r="J5874" s="1">
        <v>76.38</v>
      </c>
      <c r="K5874" t="s">
        <v>6</v>
      </c>
    </row>
    <row r="5875" spans="1:11">
      <c r="A5875" t="s">
        <v>5909</v>
      </c>
      <c r="B5875">
        <v>534654</v>
      </c>
      <c r="C5875" s="2" t="str">
        <f>"SAU-7"</f>
        <v>SAU-7</v>
      </c>
      <c r="D5875" t="s">
        <v>5986</v>
      </c>
      <c r="E5875" t="s">
        <v>4</v>
      </c>
      <c r="F5875">
        <v>31</v>
      </c>
      <c r="H5875" t="s">
        <v>5</v>
      </c>
      <c r="I5875" s="1">
        <v>86.09</v>
      </c>
      <c r="J5875" s="1">
        <v>83.76</v>
      </c>
      <c r="K5875" t="s">
        <v>6</v>
      </c>
    </row>
    <row r="5876" spans="1:11">
      <c r="A5876" t="s">
        <v>5909</v>
      </c>
      <c r="B5876">
        <v>534656</v>
      </c>
      <c r="C5876" s="2" t="str">
        <f>"SAU-8"</f>
        <v>SAU-8</v>
      </c>
      <c r="D5876" t="s">
        <v>5987</v>
      </c>
      <c r="E5876" t="s">
        <v>4</v>
      </c>
      <c r="F5876">
        <v>33</v>
      </c>
      <c r="H5876" t="s">
        <v>5</v>
      </c>
      <c r="I5876" s="1">
        <v>84.47</v>
      </c>
      <c r="J5876" s="1">
        <v>82.19</v>
      </c>
      <c r="K5876" t="s">
        <v>6</v>
      </c>
    </row>
    <row r="5877" spans="1:11">
      <c r="A5877" t="s">
        <v>5909</v>
      </c>
      <c r="B5877">
        <v>534657</v>
      </c>
      <c r="C5877" s="2" t="str">
        <f>"SAU-9"</f>
        <v>SAU-9</v>
      </c>
      <c r="D5877" t="s">
        <v>5988</v>
      </c>
      <c r="E5877" t="s">
        <v>4</v>
      </c>
      <c r="F5877">
        <v>36</v>
      </c>
      <c r="H5877" t="s">
        <v>5</v>
      </c>
      <c r="I5877" s="1">
        <v>91.02</v>
      </c>
      <c r="J5877" s="1">
        <v>88.56</v>
      </c>
      <c r="K5877" t="s">
        <v>6</v>
      </c>
    </row>
    <row r="5878" spans="1:11">
      <c r="A5878" t="s">
        <v>5909</v>
      </c>
      <c r="B5878">
        <v>534601</v>
      </c>
      <c r="C5878" s="2" t="str">
        <f>"SPH-P"</f>
        <v>SPH-P</v>
      </c>
      <c r="D5878" t="s">
        <v>5989</v>
      </c>
      <c r="E5878" t="s">
        <v>4</v>
      </c>
      <c r="F5878">
        <v>30</v>
      </c>
      <c r="H5878" t="s">
        <v>5</v>
      </c>
      <c r="I5878" s="1">
        <v>90.63</v>
      </c>
      <c r="J5878" s="1">
        <v>88.18</v>
      </c>
      <c r="K5878" t="s">
        <v>6</v>
      </c>
    </row>
    <row r="5879" spans="1:11">
      <c r="A5879" t="s">
        <v>5909</v>
      </c>
      <c r="B5879">
        <v>534554</v>
      </c>
      <c r="C5879" s="2" t="str">
        <f>"VNR-11"</f>
        <v>VNR-11</v>
      </c>
      <c r="D5879" t="s">
        <v>5990</v>
      </c>
      <c r="E5879" t="s">
        <v>4</v>
      </c>
      <c r="F5879">
        <v>17</v>
      </c>
      <c r="H5879" t="s">
        <v>5</v>
      </c>
      <c r="I5879" s="1">
        <v>36.520000000000003</v>
      </c>
      <c r="J5879" s="1">
        <v>35.53</v>
      </c>
      <c r="K5879" t="s">
        <v>6</v>
      </c>
    </row>
    <row r="5880" spans="1:11">
      <c r="A5880" t="s">
        <v>5909</v>
      </c>
      <c r="B5880">
        <v>534530</v>
      </c>
      <c r="C5880" s="2" t="str">
        <f>"VNR-12"</f>
        <v>VNR-12</v>
      </c>
      <c r="D5880" t="s">
        <v>5991</v>
      </c>
      <c r="E5880" t="s">
        <v>4</v>
      </c>
      <c r="F5880">
        <v>36</v>
      </c>
      <c r="H5880" t="s">
        <v>5</v>
      </c>
      <c r="I5880" s="1">
        <v>86.39</v>
      </c>
      <c r="J5880" s="1">
        <v>84.06</v>
      </c>
      <c r="K5880" t="s">
        <v>6</v>
      </c>
    </row>
    <row r="5881" spans="1:11">
      <c r="A5881" t="s">
        <v>5909</v>
      </c>
      <c r="B5881">
        <v>534532</v>
      </c>
      <c r="C5881" s="2" t="str">
        <f>"VNR-13"</f>
        <v>VNR-13</v>
      </c>
      <c r="D5881" t="s">
        <v>5992</v>
      </c>
      <c r="E5881" t="s">
        <v>4</v>
      </c>
      <c r="F5881">
        <v>30</v>
      </c>
      <c r="H5881" t="s">
        <v>5</v>
      </c>
      <c r="I5881" s="1">
        <v>69.790000000000006</v>
      </c>
      <c r="J5881" s="1">
        <v>67.900000000000006</v>
      </c>
      <c r="K5881" t="s">
        <v>6</v>
      </c>
    </row>
    <row r="5882" spans="1:11">
      <c r="A5882" t="s">
        <v>5909</v>
      </c>
      <c r="B5882">
        <v>534534</v>
      </c>
      <c r="C5882" s="2" t="str">
        <f>"VNR-14"</f>
        <v>VNR-14</v>
      </c>
      <c r="D5882" t="s">
        <v>5993</v>
      </c>
      <c r="E5882" t="s">
        <v>4</v>
      </c>
      <c r="F5882">
        <v>36</v>
      </c>
      <c r="H5882" t="s">
        <v>5</v>
      </c>
      <c r="I5882" s="1">
        <v>106.45</v>
      </c>
      <c r="J5882" s="1">
        <v>103.57</v>
      </c>
      <c r="K5882" t="s">
        <v>6</v>
      </c>
    </row>
    <row r="5883" spans="1:11">
      <c r="A5883" t="s">
        <v>5909</v>
      </c>
      <c r="B5883">
        <v>534529</v>
      </c>
      <c r="C5883" s="2" t="str">
        <f>"VNR-16"</f>
        <v>VNR-16</v>
      </c>
      <c r="D5883" t="s">
        <v>5994</v>
      </c>
      <c r="E5883" t="s">
        <v>4</v>
      </c>
      <c r="F5883">
        <v>28</v>
      </c>
      <c r="H5883" t="s">
        <v>5</v>
      </c>
      <c r="I5883" s="1">
        <v>42.98</v>
      </c>
      <c r="J5883" s="1">
        <v>41.81</v>
      </c>
      <c r="K5883" t="s">
        <v>6</v>
      </c>
    </row>
    <row r="5884" spans="1:11">
      <c r="A5884" t="s">
        <v>5909</v>
      </c>
      <c r="B5884">
        <v>534533</v>
      </c>
      <c r="C5884" s="2" t="str">
        <f>"VNR-2"</f>
        <v>VNR-2</v>
      </c>
      <c r="D5884" t="s">
        <v>5995</v>
      </c>
      <c r="E5884" t="s">
        <v>4</v>
      </c>
      <c r="F5884">
        <v>20</v>
      </c>
      <c r="H5884" t="s">
        <v>5</v>
      </c>
      <c r="I5884" s="1">
        <v>40.07</v>
      </c>
      <c r="J5884" s="1">
        <v>38.99</v>
      </c>
      <c r="K5884" t="s">
        <v>6</v>
      </c>
    </row>
    <row r="5885" spans="1:11">
      <c r="A5885" t="s">
        <v>5909</v>
      </c>
      <c r="B5885">
        <v>534606</v>
      </c>
      <c r="C5885" s="2" t="str">
        <f>"VNR-5"</f>
        <v>VNR-5</v>
      </c>
      <c r="D5885" t="s">
        <v>5996</v>
      </c>
      <c r="E5885" t="s">
        <v>4</v>
      </c>
      <c r="F5885">
        <v>19</v>
      </c>
      <c r="H5885" t="s">
        <v>5</v>
      </c>
      <c r="I5885" s="1">
        <v>36.630000000000003</v>
      </c>
      <c r="J5885" s="1">
        <v>35.64</v>
      </c>
      <c r="K5885" t="s">
        <v>6</v>
      </c>
    </row>
    <row r="5886" spans="1:11">
      <c r="A5886" t="s">
        <v>5909</v>
      </c>
      <c r="B5886">
        <v>534608</v>
      </c>
      <c r="C5886" s="2" t="str">
        <f>"VNR-6"</f>
        <v>VNR-6</v>
      </c>
      <c r="D5886" t="s">
        <v>5997</v>
      </c>
      <c r="E5886" t="s">
        <v>4</v>
      </c>
      <c r="F5886">
        <v>31</v>
      </c>
      <c r="H5886" t="s">
        <v>5</v>
      </c>
      <c r="I5886" s="1">
        <v>46.11</v>
      </c>
      <c r="J5886" s="1">
        <v>44.87</v>
      </c>
      <c r="K5886" t="s">
        <v>6</v>
      </c>
    </row>
    <row r="5887" spans="1:11">
      <c r="A5887" t="s">
        <v>5909</v>
      </c>
      <c r="B5887">
        <v>534611</v>
      </c>
      <c r="C5887" s="2" t="str">
        <f>"VNR-7"</f>
        <v>VNR-7</v>
      </c>
      <c r="D5887" t="s">
        <v>5998</v>
      </c>
      <c r="E5887" t="s">
        <v>4</v>
      </c>
      <c r="F5887">
        <v>40</v>
      </c>
      <c r="H5887" t="s">
        <v>5</v>
      </c>
      <c r="I5887" s="1">
        <v>52.03</v>
      </c>
      <c r="J5887" s="1">
        <v>50.63</v>
      </c>
      <c r="K5887" t="s">
        <v>6</v>
      </c>
    </row>
    <row r="5888" spans="1:11">
      <c r="A5888" t="s">
        <v>5909</v>
      </c>
      <c r="B5888">
        <v>534613</v>
      </c>
      <c r="C5888" s="2" t="str">
        <f>"VNR-8"</f>
        <v>VNR-8</v>
      </c>
      <c r="D5888" t="s">
        <v>5999</v>
      </c>
      <c r="E5888" t="s">
        <v>4</v>
      </c>
      <c r="F5888">
        <v>43</v>
      </c>
      <c r="H5888" t="s">
        <v>5</v>
      </c>
      <c r="I5888" s="1">
        <v>65.72</v>
      </c>
      <c r="J5888" s="1">
        <v>63.95</v>
      </c>
      <c r="K5888" t="s">
        <v>6</v>
      </c>
    </row>
    <row r="5889" spans="1:11">
      <c r="A5889" t="s">
        <v>5909</v>
      </c>
      <c r="B5889">
        <v>534614</v>
      </c>
      <c r="C5889" s="2" t="str">
        <f>"VNR-9"</f>
        <v>VNR-9</v>
      </c>
      <c r="D5889" t="s">
        <v>6000</v>
      </c>
      <c r="E5889" t="s">
        <v>4</v>
      </c>
      <c r="F5889">
        <v>46</v>
      </c>
      <c r="H5889" t="s">
        <v>5</v>
      </c>
      <c r="I5889" s="1">
        <v>75.430000000000007</v>
      </c>
      <c r="J5889" s="1">
        <v>73.39</v>
      </c>
      <c r="K5889" t="s">
        <v>6</v>
      </c>
    </row>
    <row r="5890" spans="1:11">
      <c r="A5890" t="s">
        <v>5909</v>
      </c>
      <c r="B5890">
        <v>534555</v>
      </c>
      <c r="C5890" s="2" t="str">
        <f>"VNT-P"</f>
        <v>VNT-P</v>
      </c>
      <c r="D5890" t="s">
        <v>6001</v>
      </c>
      <c r="E5890" t="s">
        <v>4</v>
      </c>
      <c r="F5890">
        <v>26</v>
      </c>
      <c r="H5890" t="s">
        <v>5</v>
      </c>
      <c r="I5890" s="1">
        <v>45.85</v>
      </c>
      <c r="J5890" s="1">
        <v>44.61</v>
      </c>
      <c r="K5890" t="s">
        <v>6</v>
      </c>
    </row>
    <row r="5891" spans="1:11">
      <c r="A5891" t="s">
        <v>5909</v>
      </c>
      <c r="B5891">
        <v>534531</v>
      </c>
      <c r="C5891" s="2" t="str">
        <f>"VNT-V"</f>
        <v>VNT-V</v>
      </c>
      <c r="D5891" t="s">
        <v>6002</v>
      </c>
      <c r="E5891" t="s">
        <v>4</v>
      </c>
      <c r="F5891">
        <v>33</v>
      </c>
      <c r="H5891" t="s">
        <v>5</v>
      </c>
      <c r="I5891" s="1">
        <v>50.43</v>
      </c>
      <c r="J5891" s="1">
        <v>49.07</v>
      </c>
      <c r="K5891" t="s">
        <v>6</v>
      </c>
    </row>
    <row r="5892" spans="1:11">
      <c r="A5892" t="s">
        <v>5909</v>
      </c>
      <c r="B5892">
        <v>534528</v>
      </c>
      <c r="C5892" s="2" t="str">
        <f>"VRE-1"</f>
        <v>VRE-1</v>
      </c>
      <c r="D5892" t="s">
        <v>6003</v>
      </c>
      <c r="E5892" t="s">
        <v>4</v>
      </c>
      <c r="F5892">
        <v>24</v>
      </c>
      <c r="H5892" t="s">
        <v>5</v>
      </c>
      <c r="I5892" s="1">
        <v>45.53</v>
      </c>
      <c r="J5892" s="1">
        <v>44.3</v>
      </c>
      <c r="K5892" t="s">
        <v>6</v>
      </c>
    </row>
    <row r="5893" spans="1:11">
      <c r="A5893" t="s">
        <v>5909</v>
      </c>
      <c r="B5893">
        <v>534552</v>
      </c>
      <c r="C5893" s="2" t="str">
        <f>"VRE-10"</f>
        <v>VRE-10</v>
      </c>
      <c r="D5893" t="s">
        <v>6004</v>
      </c>
      <c r="E5893" t="s">
        <v>4</v>
      </c>
      <c r="F5893">
        <v>30</v>
      </c>
      <c r="H5893" t="s">
        <v>5</v>
      </c>
      <c r="I5893" s="1">
        <v>63.65</v>
      </c>
      <c r="J5893" s="1">
        <v>61.93</v>
      </c>
      <c r="K5893" t="s">
        <v>6</v>
      </c>
    </row>
    <row r="5894" spans="1:11">
      <c r="A5894" t="s">
        <v>5909</v>
      </c>
      <c r="B5894">
        <v>534549</v>
      </c>
      <c r="C5894" s="2" t="str">
        <f>"VRE-11"</f>
        <v>VRE-11</v>
      </c>
      <c r="D5894" t="s">
        <v>6005</v>
      </c>
      <c r="E5894" t="s">
        <v>4</v>
      </c>
      <c r="F5894">
        <v>18</v>
      </c>
      <c r="H5894" t="s">
        <v>5</v>
      </c>
      <c r="I5894" s="1">
        <v>32.78</v>
      </c>
      <c r="J5894" s="1">
        <v>31.9</v>
      </c>
      <c r="K5894" t="s">
        <v>6</v>
      </c>
    </row>
    <row r="5895" spans="1:11">
      <c r="A5895" t="s">
        <v>5909</v>
      </c>
      <c r="B5895">
        <v>534599</v>
      </c>
      <c r="C5895" s="2" t="str">
        <f>"VRE-12"</f>
        <v>VRE-12</v>
      </c>
      <c r="D5895" t="s">
        <v>6006</v>
      </c>
      <c r="E5895" t="s">
        <v>4</v>
      </c>
      <c r="F5895">
        <v>37</v>
      </c>
      <c r="H5895" t="s">
        <v>5</v>
      </c>
      <c r="I5895" s="1">
        <v>98.15</v>
      </c>
      <c r="J5895" s="1">
        <v>95.5</v>
      </c>
      <c r="K5895" t="s">
        <v>6</v>
      </c>
    </row>
    <row r="5896" spans="1:11">
      <c r="A5896" t="s">
        <v>5909</v>
      </c>
      <c r="B5896">
        <v>534602</v>
      </c>
      <c r="C5896" s="2" t="str">
        <f>"VRE-13"</f>
        <v>VRE-13</v>
      </c>
      <c r="D5896" t="s">
        <v>6007</v>
      </c>
      <c r="E5896" t="s">
        <v>4</v>
      </c>
      <c r="F5896">
        <v>25</v>
      </c>
      <c r="H5896" t="s">
        <v>5</v>
      </c>
      <c r="I5896" s="1">
        <v>64.349999999999994</v>
      </c>
      <c r="J5896" s="1">
        <v>62.61</v>
      </c>
      <c r="K5896" t="s">
        <v>6</v>
      </c>
    </row>
    <row r="5897" spans="1:11">
      <c r="A5897" t="s">
        <v>5909</v>
      </c>
      <c r="B5897">
        <v>534548</v>
      </c>
      <c r="C5897" s="2" t="str">
        <f>"VRE-133"</f>
        <v>VRE-133</v>
      </c>
      <c r="D5897" t="s">
        <v>6008</v>
      </c>
      <c r="E5897" t="s">
        <v>4</v>
      </c>
      <c r="F5897">
        <v>25</v>
      </c>
      <c r="H5897" t="s">
        <v>5</v>
      </c>
      <c r="I5897" s="1">
        <v>104.96</v>
      </c>
      <c r="J5897" s="1">
        <v>102.13</v>
      </c>
      <c r="K5897" t="s">
        <v>6</v>
      </c>
    </row>
    <row r="5898" spans="1:11">
      <c r="A5898" t="s">
        <v>5909</v>
      </c>
      <c r="B5898">
        <v>534604</v>
      </c>
      <c r="C5898" s="2" t="str">
        <f>"VRE-14"</f>
        <v>VRE-14</v>
      </c>
      <c r="D5898" t="s">
        <v>6009</v>
      </c>
      <c r="E5898" t="s">
        <v>4</v>
      </c>
      <c r="F5898">
        <v>28</v>
      </c>
      <c r="H5898" t="s">
        <v>5</v>
      </c>
      <c r="I5898" s="1">
        <v>77.430000000000007</v>
      </c>
      <c r="J5898" s="1">
        <v>75.34</v>
      </c>
      <c r="K5898" t="s">
        <v>6</v>
      </c>
    </row>
    <row r="5899" spans="1:11">
      <c r="A5899" t="s">
        <v>5909</v>
      </c>
      <c r="B5899">
        <v>534558</v>
      </c>
      <c r="C5899" s="2" t="str">
        <f>"VRE-15"</f>
        <v>VRE-15</v>
      </c>
      <c r="D5899" t="s">
        <v>6010</v>
      </c>
      <c r="E5899" t="s">
        <v>4</v>
      </c>
      <c r="F5899">
        <v>34</v>
      </c>
      <c r="H5899" t="s">
        <v>5</v>
      </c>
      <c r="I5899" s="1">
        <v>56.18</v>
      </c>
      <c r="J5899" s="1">
        <v>54.66</v>
      </c>
      <c r="K5899" t="s">
        <v>6</v>
      </c>
    </row>
    <row r="5900" spans="1:11">
      <c r="A5900" t="s">
        <v>5909</v>
      </c>
      <c r="B5900">
        <v>534592</v>
      </c>
      <c r="C5900" s="2" t="str">
        <f>"VRE-16"</f>
        <v>VRE-16</v>
      </c>
      <c r="D5900" t="s">
        <v>6011</v>
      </c>
      <c r="E5900" t="s">
        <v>4</v>
      </c>
      <c r="F5900">
        <v>26</v>
      </c>
      <c r="H5900" t="s">
        <v>5</v>
      </c>
      <c r="I5900" s="1">
        <v>42.78</v>
      </c>
      <c r="J5900" s="1">
        <v>41.62</v>
      </c>
      <c r="K5900" t="s">
        <v>6</v>
      </c>
    </row>
    <row r="5901" spans="1:11">
      <c r="A5901" t="s">
        <v>5909</v>
      </c>
      <c r="B5901">
        <v>534559</v>
      </c>
      <c r="C5901" s="2" t="str">
        <f>"VRE-18"</f>
        <v>VRE-18</v>
      </c>
      <c r="D5901" t="s">
        <v>6012</v>
      </c>
      <c r="E5901" t="s">
        <v>4</v>
      </c>
      <c r="F5901">
        <v>38</v>
      </c>
      <c r="H5901" t="s">
        <v>5</v>
      </c>
      <c r="I5901" s="1">
        <v>68.650000000000006</v>
      </c>
      <c r="J5901" s="1">
        <v>66.790000000000006</v>
      </c>
      <c r="K5901" t="s">
        <v>6</v>
      </c>
    </row>
    <row r="5902" spans="1:11">
      <c r="A5902" t="s">
        <v>5909</v>
      </c>
      <c r="B5902">
        <v>534539</v>
      </c>
      <c r="C5902" s="2" t="str">
        <f>"VRE-2"</f>
        <v>VRE-2</v>
      </c>
      <c r="D5902" t="s">
        <v>6013</v>
      </c>
      <c r="E5902" t="s">
        <v>4</v>
      </c>
      <c r="F5902">
        <v>23</v>
      </c>
      <c r="H5902" t="s">
        <v>5</v>
      </c>
      <c r="I5902" s="1">
        <v>40.07</v>
      </c>
      <c r="J5902" s="1">
        <v>38.99</v>
      </c>
      <c r="K5902" t="s">
        <v>6</v>
      </c>
    </row>
    <row r="5903" spans="1:11">
      <c r="A5903" t="s">
        <v>5909</v>
      </c>
      <c r="B5903">
        <v>534594</v>
      </c>
      <c r="C5903" s="2" t="str">
        <f>"VRE-21"</f>
        <v>VRE-21</v>
      </c>
      <c r="D5903" t="s">
        <v>6014</v>
      </c>
      <c r="E5903" t="s">
        <v>4</v>
      </c>
      <c r="F5903">
        <v>36</v>
      </c>
      <c r="H5903" t="s">
        <v>5</v>
      </c>
      <c r="I5903" s="1">
        <v>75.38</v>
      </c>
      <c r="J5903" s="1">
        <v>73.34</v>
      </c>
      <c r="K5903" t="s">
        <v>6</v>
      </c>
    </row>
    <row r="5904" spans="1:11">
      <c r="A5904" t="s">
        <v>5909</v>
      </c>
      <c r="B5904">
        <v>534567</v>
      </c>
      <c r="C5904" s="2" t="str">
        <f>"VRE-23"</f>
        <v>VRE-23</v>
      </c>
      <c r="D5904" t="s">
        <v>6015</v>
      </c>
      <c r="E5904" t="s">
        <v>4</v>
      </c>
      <c r="F5904">
        <v>39</v>
      </c>
      <c r="H5904" t="s">
        <v>5</v>
      </c>
      <c r="I5904" s="1">
        <v>81.430000000000007</v>
      </c>
      <c r="J5904" s="1">
        <v>79.23</v>
      </c>
      <c r="K5904" t="s">
        <v>6</v>
      </c>
    </row>
    <row r="5905" spans="1:11">
      <c r="A5905" t="s">
        <v>5909</v>
      </c>
      <c r="B5905">
        <v>534557</v>
      </c>
      <c r="C5905" s="2" t="str">
        <f>"VRE-24"</f>
        <v>VRE-24</v>
      </c>
      <c r="D5905" t="s">
        <v>6016</v>
      </c>
      <c r="E5905" t="s">
        <v>4</v>
      </c>
      <c r="F5905">
        <v>29</v>
      </c>
      <c r="H5905" t="s">
        <v>5</v>
      </c>
      <c r="I5905" s="1">
        <v>50.51</v>
      </c>
      <c r="J5905" s="1">
        <v>49.14</v>
      </c>
      <c r="K5905" t="s">
        <v>6</v>
      </c>
    </row>
    <row r="5906" spans="1:11">
      <c r="A5906" t="s">
        <v>5909</v>
      </c>
      <c r="B5906">
        <v>534562</v>
      </c>
      <c r="C5906" s="2" t="str">
        <f>"VRE-26"</f>
        <v>VRE-26</v>
      </c>
      <c r="D5906" t="s">
        <v>6017</v>
      </c>
      <c r="E5906" t="s">
        <v>4</v>
      </c>
      <c r="F5906">
        <v>27</v>
      </c>
      <c r="H5906" t="s">
        <v>5</v>
      </c>
      <c r="I5906" s="1">
        <v>60.68</v>
      </c>
      <c r="J5906" s="1">
        <v>59.04</v>
      </c>
      <c r="K5906" t="s">
        <v>6</v>
      </c>
    </row>
    <row r="5907" spans="1:11">
      <c r="A5907" t="s">
        <v>5909</v>
      </c>
      <c r="B5907">
        <v>534565</v>
      </c>
      <c r="C5907" s="2" t="str">
        <f>"VRE-27"</f>
        <v>VRE-27</v>
      </c>
      <c r="D5907" t="s">
        <v>6018</v>
      </c>
      <c r="E5907" t="s">
        <v>4</v>
      </c>
      <c r="F5907">
        <v>40</v>
      </c>
      <c r="H5907" t="s">
        <v>5</v>
      </c>
      <c r="I5907" s="1">
        <v>81.430000000000007</v>
      </c>
      <c r="J5907" s="1">
        <v>79.23</v>
      </c>
      <c r="K5907" t="s">
        <v>6</v>
      </c>
    </row>
    <row r="5908" spans="1:11">
      <c r="A5908" t="s">
        <v>5909</v>
      </c>
      <c r="B5908">
        <v>534560</v>
      </c>
      <c r="C5908" s="2" t="str">
        <f>"VRE-3"</f>
        <v>VRE-3</v>
      </c>
      <c r="D5908" t="s">
        <v>6019</v>
      </c>
      <c r="E5908" t="s">
        <v>4</v>
      </c>
      <c r="F5908">
        <v>41</v>
      </c>
      <c r="H5908" t="s">
        <v>5</v>
      </c>
      <c r="I5908" s="1">
        <v>74.67</v>
      </c>
      <c r="J5908" s="1">
        <v>72.650000000000006</v>
      </c>
      <c r="K5908" t="s">
        <v>6</v>
      </c>
    </row>
    <row r="5909" spans="1:11">
      <c r="A5909" t="s">
        <v>5909</v>
      </c>
      <c r="B5909">
        <v>534547</v>
      </c>
      <c r="C5909" s="2" t="str">
        <f>"VRE-32"</f>
        <v>VRE-32</v>
      </c>
      <c r="D5909" t="s">
        <v>6020</v>
      </c>
      <c r="E5909" t="s">
        <v>4</v>
      </c>
      <c r="F5909">
        <v>15</v>
      </c>
      <c r="H5909" t="s">
        <v>5</v>
      </c>
      <c r="I5909" s="1">
        <v>29.59</v>
      </c>
      <c r="J5909" s="1">
        <v>28.79</v>
      </c>
      <c r="K5909" t="s">
        <v>6</v>
      </c>
    </row>
    <row r="5910" spans="1:11">
      <c r="A5910" t="s">
        <v>5909</v>
      </c>
      <c r="B5910">
        <v>534597</v>
      </c>
      <c r="C5910" s="2" t="str">
        <f>"VRE-34"</f>
        <v>VRE-34</v>
      </c>
      <c r="D5910" t="s">
        <v>6021</v>
      </c>
      <c r="E5910" t="s">
        <v>4</v>
      </c>
      <c r="F5910">
        <v>31</v>
      </c>
      <c r="H5910" t="s">
        <v>5</v>
      </c>
      <c r="I5910" s="1">
        <v>63.14</v>
      </c>
      <c r="J5910" s="1">
        <v>61.43</v>
      </c>
      <c r="K5910" t="s">
        <v>6</v>
      </c>
    </row>
    <row r="5911" spans="1:11">
      <c r="A5911" t="s">
        <v>5909</v>
      </c>
      <c r="B5911">
        <v>534526</v>
      </c>
      <c r="C5911" s="2" t="str">
        <f>"VRE-35"</f>
        <v>VRE-35</v>
      </c>
      <c r="D5911" t="s">
        <v>6022</v>
      </c>
      <c r="E5911" t="s">
        <v>4</v>
      </c>
      <c r="F5911">
        <v>13</v>
      </c>
      <c r="H5911" t="s">
        <v>5</v>
      </c>
      <c r="I5911" s="1">
        <v>37.96</v>
      </c>
      <c r="J5911" s="1">
        <v>36.93</v>
      </c>
      <c r="K5911" t="s">
        <v>6</v>
      </c>
    </row>
    <row r="5912" spans="1:11">
      <c r="A5912" t="s">
        <v>5909</v>
      </c>
      <c r="B5912">
        <v>534543</v>
      </c>
      <c r="C5912" s="2" t="str">
        <f>"VRE-36"</f>
        <v>VRE-36</v>
      </c>
      <c r="D5912" t="s">
        <v>6023</v>
      </c>
      <c r="E5912" t="s">
        <v>4</v>
      </c>
      <c r="F5912">
        <v>14</v>
      </c>
      <c r="H5912" t="s">
        <v>5</v>
      </c>
      <c r="I5912" s="1">
        <v>28.13</v>
      </c>
      <c r="J5912" s="1">
        <v>27.37</v>
      </c>
      <c r="K5912" t="s">
        <v>6</v>
      </c>
    </row>
    <row r="5913" spans="1:11">
      <c r="A5913" t="s">
        <v>5909</v>
      </c>
      <c r="B5913">
        <v>534545</v>
      </c>
      <c r="C5913" s="2" t="str">
        <f>"VRE-4"</f>
        <v>VRE-4</v>
      </c>
      <c r="D5913" t="s">
        <v>6024</v>
      </c>
      <c r="E5913" t="s">
        <v>4</v>
      </c>
      <c r="F5913">
        <v>24</v>
      </c>
      <c r="H5913" t="s">
        <v>5</v>
      </c>
      <c r="I5913" s="1">
        <v>44.53</v>
      </c>
      <c r="J5913" s="1">
        <v>43.33</v>
      </c>
      <c r="K5913" t="s">
        <v>6</v>
      </c>
    </row>
    <row r="5914" spans="1:11">
      <c r="A5914" t="s">
        <v>5909</v>
      </c>
      <c r="B5914">
        <v>534576</v>
      </c>
      <c r="C5914" s="2" t="str">
        <f>"VRE-5"</f>
        <v>VRE-5</v>
      </c>
      <c r="D5914" t="s">
        <v>6025</v>
      </c>
      <c r="E5914" t="s">
        <v>4</v>
      </c>
      <c r="F5914">
        <v>22</v>
      </c>
      <c r="H5914" t="s">
        <v>5</v>
      </c>
      <c r="I5914" s="1">
        <v>38.36</v>
      </c>
      <c r="J5914" s="1">
        <v>37.32</v>
      </c>
      <c r="K5914" t="s">
        <v>6</v>
      </c>
    </row>
    <row r="5915" spans="1:11">
      <c r="A5915" t="s">
        <v>5909</v>
      </c>
      <c r="B5915">
        <v>534581</v>
      </c>
      <c r="C5915" s="2" t="str">
        <f>"VRE-6"</f>
        <v>VRE-6</v>
      </c>
      <c r="D5915" t="s">
        <v>6026</v>
      </c>
      <c r="E5915" t="s">
        <v>4</v>
      </c>
      <c r="F5915">
        <v>28</v>
      </c>
      <c r="H5915" t="s">
        <v>5</v>
      </c>
      <c r="I5915" s="1">
        <v>44.73</v>
      </c>
      <c r="J5915" s="1">
        <v>43.52</v>
      </c>
      <c r="K5915" t="s">
        <v>6</v>
      </c>
    </row>
    <row r="5916" spans="1:11">
      <c r="A5916" t="s">
        <v>5909</v>
      </c>
      <c r="B5916">
        <v>534579</v>
      </c>
      <c r="C5916" s="2" t="str">
        <f>"VRE-64"</f>
        <v>VRE-64</v>
      </c>
      <c r="D5916" t="s">
        <v>6027</v>
      </c>
      <c r="E5916" t="s">
        <v>4</v>
      </c>
      <c r="F5916">
        <v>24</v>
      </c>
      <c r="H5916" t="s">
        <v>5</v>
      </c>
      <c r="I5916" s="1">
        <v>42.31</v>
      </c>
      <c r="J5916" s="1">
        <v>41.16</v>
      </c>
      <c r="K5916" t="s">
        <v>6</v>
      </c>
    </row>
    <row r="5917" spans="1:11">
      <c r="A5917" t="s">
        <v>5909</v>
      </c>
      <c r="B5917">
        <v>534584</v>
      </c>
      <c r="C5917" s="2" t="str">
        <f>"VRE-7"</f>
        <v>VRE-7</v>
      </c>
      <c r="D5917" t="s">
        <v>6028</v>
      </c>
      <c r="E5917" t="s">
        <v>4</v>
      </c>
      <c r="F5917">
        <v>33</v>
      </c>
      <c r="H5917" t="s">
        <v>5</v>
      </c>
      <c r="I5917" s="1">
        <v>52.73</v>
      </c>
      <c r="J5917" s="1">
        <v>51.3</v>
      </c>
      <c r="K5917" t="s">
        <v>6</v>
      </c>
    </row>
    <row r="5918" spans="1:11">
      <c r="A5918" t="s">
        <v>5909</v>
      </c>
      <c r="B5918">
        <v>534586</v>
      </c>
      <c r="C5918" s="2" t="str">
        <f>"VRE-8"</f>
        <v>VRE-8</v>
      </c>
      <c r="D5918" t="s">
        <v>6029</v>
      </c>
      <c r="E5918" t="s">
        <v>4</v>
      </c>
      <c r="F5918">
        <v>44</v>
      </c>
      <c r="H5918" t="s">
        <v>5</v>
      </c>
      <c r="I5918" s="1">
        <v>67.69</v>
      </c>
      <c r="J5918" s="1">
        <v>65.86</v>
      </c>
      <c r="K5918" t="s">
        <v>6</v>
      </c>
    </row>
    <row r="5919" spans="1:11">
      <c r="A5919" t="s">
        <v>5909</v>
      </c>
      <c r="B5919">
        <v>534569</v>
      </c>
      <c r="C5919" s="2" t="str">
        <f>"VRE-81"</f>
        <v>VRE-81</v>
      </c>
      <c r="D5919" t="s">
        <v>6030</v>
      </c>
      <c r="E5919" t="s">
        <v>4</v>
      </c>
      <c r="F5919">
        <v>29</v>
      </c>
      <c r="H5919" t="s">
        <v>5</v>
      </c>
      <c r="I5919" s="1">
        <v>68.459999999999994</v>
      </c>
      <c r="J5919" s="1">
        <v>66.61</v>
      </c>
      <c r="K5919" t="s">
        <v>6</v>
      </c>
    </row>
    <row r="5920" spans="1:11">
      <c r="A5920" t="s">
        <v>5909</v>
      </c>
      <c r="B5920">
        <v>534589</v>
      </c>
      <c r="C5920" s="2" t="str">
        <f>"VRE-9"</f>
        <v>VRE-9</v>
      </c>
      <c r="D5920" t="s">
        <v>6031</v>
      </c>
      <c r="E5920" t="s">
        <v>4</v>
      </c>
      <c r="F5920">
        <v>48</v>
      </c>
      <c r="H5920" t="s">
        <v>5</v>
      </c>
      <c r="I5920" s="1">
        <v>77.400000000000006</v>
      </c>
      <c r="J5920" s="1">
        <v>75.31</v>
      </c>
      <c r="K5920" t="s">
        <v>6</v>
      </c>
    </row>
    <row r="5921" spans="1:12">
      <c r="A5921" t="s">
        <v>5909</v>
      </c>
      <c r="B5921">
        <v>534624</v>
      </c>
      <c r="C5921" s="2" t="str">
        <f>"WIN-1"</f>
        <v>WIN-1</v>
      </c>
      <c r="D5921" t="s">
        <v>6032</v>
      </c>
      <c r="E5921" t="s">
        <v>4</v>
      </c>
      <c r="F5921">
        <v>22</v>
      </c>
      <c r="H5921" t="s">
        <v>5</v>
      </c>
      <c r="I5921" s="1">
        <v>58.34</v>
      </c>
      <c r="J5921" s="1">
        <v>56.76</v>
      </c>
      <c r="K5921" t="s">
        <v>6</v>
      </c>
    </row>
    <row r="5922" spans="1:12">
      <c r="A5922" t="s">
        <v>5909</v>
      </c>
      <c r="B5922">
        <v>534628</v>
      </c>
      <c r="C5922" s="2" t="str">
        <f>"WIN-10"</f>
        <v>WIN-10</v>
      </c>
      <c r="D5922" t="s">
        <v>6033</v>
      </c>
      <c r="E5922" t="s">
        <v>4</v>
      </c>
      <c r="F5922">
        <v>33</v>
      </c>
      <c r="H5922" t="s">
        <v>5</v>
      </c>
      <c r="I5922" s="1">
        <v>69.19</v>
      </c>
      <c r="J5922" s="1">
        <v>67.319999999999993</v>
      </c>
      <c r="K5922" t="s">
        <v>6</v>
      </c>
    </row>
    <row r="5923" spans="1:12">
      <c r="A5923" t="s">
        <v>5909</v>
      </c>
      <c r="B5923">
        <v>534627</v>
      </c>
      <c r="C5923" s="2" t="str">
        <f>"WIN-11"</f>
        <v>WIN-11</v>
      </c>
      <c r="D5923" t="s">
        <v>6034</v>
      </c>
      <c r="E5923" t="s">
        <v>4</v>
      </c>
      <c r="F5923">
        <v>17</v>
      </c>
      <c r="H5923" t="s">
        <v>5</v>
      </c>
      <c r="I5923" s="1">
        <v>46.59</v>
      </c>
      <c r="J5923" s="1">
        <v>45.33</v>
      </c>
      <c r="K5923" t="s">
        <v>6</v>
      </c>
    </row>
    <row r="5924" spans="1:12">
      <c r="A5924" t="s">
        <v>5909</v>
      </c>
      <c r="B5924">
        <v>534635</v>
      </c>
      <c r="C5924" s="2" t="str">
        <f>"WIN-16"</f>
        <v>WIN-16</v>
      </c>
      <c r="D5924" t="s">
        <v>6035</v>
      </c>
      <c r="E5924" t="s">
        <v>4</v>
      </c>
      <c r="F5924">
        <v>25</v>
      </c>
      <c r="H5924" t="s">
        <v>5</v>
      </c>
      <c r="I5924" s="1">
        <v>41.78</v>
      </c>
      <c r="J5924" s="1">
        <v>40.65</v>
      </c>
      <c r="K5924" t="s">
        <v>6</v>
      </c>
    </row>
    <row r="5925" spans="1:12">
      <c r="A5925" t="s">
        <v>5909</v>
      </c>
      <c r="B5925">
        <v>534626</v>
      </c>
      <c r="C5925" s="2" t="str">
        <f>"WIN-2"</f>
        <v>WIN-2</v>
      </c>
      <c r="D5925" t="s">
        <v>6036</v>
      </c>
      <c r="E5925" t="s">
        <v>4</v>
      </c>
      <c r="F5925">
        <v>19</v>
      </c>
      <c r="H5925" t="s">
        <v>5</v>
      </c>
      <c r="I5925" s="1">
        <v>40.85</v>
      </c>
      <c r="J5925" s="1">
        <v>39.74</v>
      </c>
      <c r="K5925" t="s">
        <v>6</v>
      </c>
    </row>
    <row r="5926" spans="1:12">
      <c r="A5926" t="s">
        <v>5909</v>
      </c>
      <c r="B5926">
        <v>534629</v>
      </c>
      <c r="C5926" s="2" t="str">
        <f>"WIN-3"</f>
        <v>WIN-3</v>
      </c>
      <c r="D5926" t="s">
        <v>6037</v>
      </c>
      <c r="E5926" t="s">
        <v>4</v>
      </c>
      <c r="F5926">
        <v>48</v>
      </c>
      <c r="H5926" t="s">
        <v>5</v>
      </c>
      <c r="I5926" s="1">
        <v>83.12</v>
      </c>
      <c r="J5926" s="1">
        <v>80.87</v>
      </c>
      <c r="K5926" t="s">
        <v>6</v>
      </c>
    </row>
    <row r="5927" spans="1:12">
      <c r="A5927" t="s">
        <v>5909</v>
      </c>
      <c r="B5927">
        <v>534625</v>
      </c>
      <c r="C5927" s="2" t="str">
        <f>"WIN-4"</f>
        <v>WIN-4</v>
      </c>
      <c r="D5927" t="s">
        <v>6038</v>
      </c>
      <c r="E5927" t="s">
        <v>4</v>
      </c>
      <c r="F5927">
        <v>20</v>
      </c>
      <c r="H5927" t="s">
        <v>5</v>
      </c>
      <c r="I5927" s="1">
        <v>48.68</v>
      </c>
      <c r="J5927" s="1">
        <v>47.37</v>
      </c>
      <c r="K5927" t="s">
        <v>6</v>
      </c>
    </row>
    <row r="5928" spans="1:12">
      <c r="A5928" t="s">
        <v>5909</v>
      </c>
      <c r="B5928">
        <v>534630</v>
      </c>
      <c r="C5928" s="2" t="str">
        <f>"WIN-5"</f>
        <v>WIN-5</v>
      </c>
      <c r="D5928" t="s">
        <v>6039</v>
      </c>
      <c r="E5928" t="s">
        <v>4</v>
      </c>
      <c r="F5928">
        <v>20</v>
      </c>
      <c r="H5928" t="s">
        <v>5</v>
      </c>
      <c r="I5928" s="1">
        <v>43.98</v>
      </c>
      <c r="J5928" s="1">
        <v>42.79</v>
      </c>
      <c r="K5928" t="s">
        <v>6</v>
      </c>
    </row>
    <row r="5929" spans="1:12">
      <c r="A5929" t="s">
        <v>5909</v>
      </c>
      <c r="B5929">
        <v>534631</v>
      </c>
      <c r="C5929" s="2" t="str">
        <f>"WIN-6"</f>
        <v>WIN-6</v>
      </c>
      <c r="D5929" t="s">
        <v>6040</v>
      </c>
      <c r="E5929" t="s">
        <v>4</v>
      </c>
      <c r="F5929">
        <v>27</v>
      </c>
      <c r="H5929" t="s">
        <v>5</v>
      </c>
      <c r="I5929" s="1">
        <v>49.14</v>
      </c>
      <c r="J5929" s="1">
        <v>47.82</v>
      </c>
      <c r="K5929" t="s">
        <v>6</v>
      </c>
    </row>
    <row r="5930" spans="1:12">
      <c r="A5930" t="s">
        <v>5909</v>
      </c>
      <c r="B5930">
        <v>534632</v>
      </c>
      <c r="C5930" s="2" t="str">
        <f>"WIN-7"</f>
        <v>WIN-7</v>
      </c>
      <c r="D5930" t="s">
        <v>6041</v>
      </c>
      <c r="E5930" t="s">
        <v>4</v>
      </c>
      <c r="F5930">
        <v>31</v>
      </c>
      <c r="H5930" t="s">
        <v>5</v>
      </c>
      <c r="I5930" s="1">
        <v>59.39</v>
      </c>
      <c r="J5930" s="1">
        <v>57.79</v>
      </c>
      <c r="K5930" t="s">
        <v>6</v>
      </c>
    </row>
    <row r="5931" spans="1:12">
      <c r="A5931" t="s">
        <v>5909</v>
      </c>
      <c r="B5931">
        <v>534633</v>
      </c>
      <c r="C5931" s="2" t="str">
        <f>"WIN-9"</f>
        <v>WIN-9</v>
      </c>
      <c r="D5931" t="s">
        <v>6042</v>
      </c>
      <c r="E5931" t="s">
        <v>4</v>
      </c>
      <c r="F5931">
        <v>43</v>
      </c>
      <c r="H5931" t="s">
        <v>5</v>
      </c>
      <c r="I5931" s="1">
        <v>66.03</v>
      </c>
      <c r="J5931" s="1">
        <v>64.239999999999995</v>
      </c>
      <c r="K5931" t="s">
        <v>6</v>
      </c>
    </row>
    <row r="5932" spans="1:12">
      <c r="A5932" t="s">
        <v>5909</v>
      </c>
      <c r="B5932">
        <v>534544</v>
      </c>
      <c r="C5932" s="2" t="str">
        <f>"WRO-10-V"</f>
        <v>WRO-10-V</v>
      </c>
      <c r="D5932" t="s">
        <v>6043</v>
      </c>
      <c r="E5932" t="s">
        <v>4</v>
      </c>
      <c r="F5932">
        <v>24</v>
      </c>
      <c r="H5932" t="s">
        <v>5</v>
      </c>
      <c r="I5932" s="1">
        <v>75.680000000000007</v>
      </c>
      <c r="J5932" s="1">
        <v>73.64</v>
      </c>
      <c r="K5932" t="s">
        <v>6</v>
      </c>
    </row>
    <row r="5933" spans="1:12">
      <c r="A5933" t="s">
        <v>5909</v>
      </c>
      <c r="B5933">
        <v>534546</v>
      </c>
      <c r="C5933" s="2" t="str">
        <f>"WRO-12-V"</f>
        <v>WRO-12-V</v>
      </c>
      <c r="D5933" t="s">
        <v>6044</v>
      </c>
      <c r="E5933" t="s">
        <v>4</v>
      </c>
      <c r="F5933">
        <v>28</v>
      </c>
      <c r="H5933" t="s">
        <v>5</v>
      </c>
      <c r="I5933" s="1">
        <v>85.39</v>
      </c>
      <c r="J5933" s="1">
        <v>83.09</v>
      </c>
      <c r="K5933" t="s">
        <v>6</v>
      </c>
    </row>
    <row r="5934" spans="1:12">
      <c r="A5934" t="s">
        <v>5909</v>
      </c>
      <c r="B5934">
        <v>534664</v>
      </c>
      <c r="C5934" s="2" t="str">
        <f>"WRO-8-C"</f>
        <v>WRO-8-C</v>
      </c>
      <c r="D5934" t="s">
        <v>6045</v>
      </c>
      <c r="E5934" t="s">
        <v>4</v>
      </c>
      <c r="F5934">
        <v>31</v>
      </c>
      <c r="H5934" t="s">
        <v>5</v>
      </c>
      <c r="I5934" s="1">
        <v>111.39</v>
      </c>
      <c r="J5934" s="1">
        <v>108.38</v>
      </c>
      <c r="K5934" t="s">
        <v>6</v>
      </c>
    </row>
    <row r="5935" spans="1:12">
      <c r="A5935" t="s">
        <v>2395</v>
      </c>
      <c r="B5935">
        <v>379750</v>
      </c>
      <c r="C5935" s="2" t="str">
        <f>"40001"</f>
        <v>40001</v>
      </c>
      <c r="D5935" t="s">
        <v>2396</v>
      </c>
      <c r="E5935" t="s">
        <v>4</v>
      </c>
      <c r="F5935">
        <v>0.3</v>
      </c>
      <c r="G5935">
        <v>0.05</v>
      </c>
      <c r="H5935" t="s">
        <v>20</v>
      </c>
      <c r="I5935" s="1">
        <v>9.6199999999999992</v>
      </c>
      <c r="J5935" s="1">
        <v>9.36</v>
      </c>
      <c r="K5935" t="s">
        <v>21</v>
      </c>
      <c r="L5935" s="1">
        <v>10.3</v>
      </c>
    </row>
    <row r="5936" spans="1:12">
      <c r="A5936" t="s">
        <v>2395</v>
      </c>
      <c r="B5936">
        <v>379755</v>
      </c>
      <c r="C5936" s="2" t="str">
        <f>"40002"</f>
        <v>40002</v>
      </c>
      <c r="D5936" t="s">
        <v>2397</v>
      </c>
      <c r="E5936" t="s">
        <v>4</v>
      </c>
      <c r="F5936">
        <v>0.78</v>
      </c>
      <c r="G5936">
        <v>0.13</v>
      </c>
      <c r="H5936" t="s">
        <v>20</v>
      </c>
      <c r="I5936" s="1">
        <v>21.65</v>
      </c>
      <c r="J5936" s="1">
        <v>21.06</v>
      </c>
      <c r="K5936" t="s">
        <v>21</v>
      </c>
      <c r="L5936" s="1">
        <v>23.17</v>
      </c>
    </row>
    <row r="5937" spans="1:12">
      <c r="A5937" t="s">
        <v>2395</v>
      </c>
      <c r="B5937">
        <v>379760</v>
      </c>
      <c r="C5937" s="2" t="str">
        <f>"40003"</f>
        <v>40003</v>
      </c>
      <c r="D5937" t="s">
        <v>2398</v>
      </c>
      <c r="E5937" t="s">
        <v>4</v>
      </c>
      <c r="F5937">
        <v>0.78</v>
      </c>
      <c r="G5937">
        <v>0.13</v>
      </c>
      <c r="H5937" t="s">
        <v>20</v>
      </c>
      <c r="I5937" s="1">
        <v>21.65</v>
      </c>
      <c r="J5937" s="1">
        <v>21.06</v>
      </c>
      <c r="K5937" t="s">
        <v>21</v>
      </c>
      <c r="L5937" s="1">
        <v>23.17</v>
      </c>
    </row>
    <row r="5938" spans="1:12">
      <c r="A5938" t="s">
        <v>2395</v>
      </c>
      <c r="B5938">
        <v>379766</v>
      </c>
      <c r="C5938" s="2" t="str">
        <f>"40007"</f>
        <v>40007</v>
      </c>
      <c r="D5938" t="s">
        <v>2399</v>
      </c>
      <c r="E5938" t="s">
        <v>4</v>
      </c>
      <c r="F5938">
        <v>0.72</v>
      </c>
      <c r="G5938">
        <v>0.06</v>
      </c>
      <c r="H5938" t="s">
        <v>106</v>
      </c>
      <c r="I5938" s="1">
        <v>9.5</v>
      </c>
      <c r="J5938" s="1">
        <v>9.24</v>
      </c>
      <c r="K5938" t="s">
        <v>21</v>
      </c>
      <c r="L5938" s="1">
        <v>10.17</v>
      </c>
    </row>
    <row r="5939" spans="1:12">
      <c r="A5939" t="s">
        <v>2395</v>
      </c>
      <c r="B5939">
        <v>379772</v>
      </c>
      <c r="C5939" s="2" t="str">
        <f>"40013"</f>
        <v>40013</v>
      </c>
      <c r="D5939" t="s">
        <v>2400</v>
      </c>
      <c r="E5939" t="s">
        <v>4</v>
      </c>
      <c r="F5939">
        <v>1.56</v>
      </c>
      <c r="G5939">
        <v>0.26</v>
      </c>
      <c r="H5939" t="s">
        <v>20</v>
      </c>
      <c r="I5939" s="1">
        <v>23.81</v>
      </c>
      <c r="J5939" s="1">
        <v>23.17</v>
      </c>
      <c r="K5939" t="s">
        <v>21</v>
      </c>
      <c r="L5939" s="1">
        <v>25.48</v>
      </c>
    </row>
    <row r="5940" spans="1:12">
      <c r="A5940" t="s">
        <v>2395</v>
      </c>
      <c r="B5940">
        <v>379785</v>
      </c>
      <c r="C5940" s="2" t="str">
        <f>"40020"</f>
        <v>40020</v>
      </c>
      <c r="D5940" t="s">
        <v>2401</v>
      </c>
      <c r="E5940" t="s">
        <v>4</v>
      </c>
      <c r="F5940">
        <v>2.7</v>
      </c>
      <c r="G5940">
        <v>0.45</v>
      </c>
      <c r="H5940" t="s">
        <v>20</v>
      </c>
      <c r="I5940" s="1">
        <v>37.520000000000003</v>
      </c>
      <c r="J5940" s="1">
        <v>36.5</v>
      </c>
      <c r="K5940" t="s">
        <v>21</v>
      </c>
      <c r="L5940" s="1">
        <v>40.15</v>
      </c>
    </row>
    <row r="5941" spans="1:12">
      <c r="A5941" t="s">
        <v>2395</v>
      </c>
      <c r="B5941">
        <v>379788</v>
      </c>
      <c r="C5941" s="2" t="str">
        <f>"40021"</f>
        <v>40021</v>
      </c>
      <c r="D5941" t="s">
        <v>2402</v>
      </c>
      <c r="E5941" t="s">
        <v>4</v>
      </c>
      <c r="F5941">
        <v>3.06</v>
      </c>
      <c r="G5941">
        <v>0.51</v>
      </c>
      <c r="H5941" t="s">
        <v>20</v>
      </c>
      <c r="I5941" s="1">
        <v>41.25</v>
      </c>
      <c r="J5941" s="1">
        <v>40.130000000000003</v>
      </c>
      <c r="K5941" t="s">
        <v>21</v>
      </c>
      <c r="L5941" s="1">
        <v>44.14</v>
      </c>
    </row>
    <row r="5942" spans="1:12">
      <c r="A5942" t="s">
        <v>2395</v>
      </c>
      <c r="B5942">
        <v>379802</v>
      </c>
      <c r="C5942" s="2" t="str">
        <f>"40022"</f>
        <v>40022</v>
      </c>
      <c r="D5942" t="s">
        <v>2403</v>
      </c>
      <c r="E5942" t="s">
        <v>4</v>
      </c>
      <c r="F5942">
        <v>4.0199999999999996</v>
      </c>
      <c r="G5942">
        <v>0.67</v>
      </c>
      <c r="H5942" t="s">
        <v>20</v>
      </c>
      <c r="I5942" s="1">
        <v>50.14</v>
      </c>
      <c r="J5942" s="1">
        <v>48.79</v>
      </c>
      <c r="K5942" t="s">
        <v>21</v>
      </c>
      <c r="L5942" s="1">
        <v>53.67</v>
      </c>
    </row>
    <row r="5943" spans="1:12">
      <c r="A5943" t="s">
        <v>2395</v>
      </c>
      <c r="B5943">
        <v>379807</v>
      </c>
      <c r="C5943" s="2" t="str">
        <f>"40023"</f>
        <v>40023</v>
      </c>
      <c r="D5943" t="s">
        <v>2404</v>
      </c>
      <c r="E5943" t="s">
        <v>4</v>
      </c>
      <c r="F5943">
        <v>3.06</v>
      </c>
      <c r="G5943">
        <v>0.51</v>
      </c>
      <c r="H5943" t="s">
        <v>20</v>
      </c>
      <c r="I5943" s="1">
        <v>44.13</v>
      </c>
      <c r="J5943" s="1">
        <v>42.94</v>
      </c>
      <c r="K5943" t="s">
        <v>21</v>
      </c>
      <c r="L5943" s="1">
        <v>47.23</v>
      </c>
    </row>
    <row r="5944" spans="1:12">
      <c r="A5944" t="s">
        <v>2395</v>
      </c>
      <c r="B5944">
        <v>379812</v>
      </c>
      <c r="C5944" s="2" t="str">
        <f>"40027"</f>
        <v>40027</v>
      </c>
      <c r="D5944" t="s">
        <v>2405</v>
      </c>
      <c r="E5944" t="s">
        <v>4</v>
      </c>
      <c r="F5944">
        <v>1.62</v>
      </c>
      <c r="G5944">
        <v>0.27</v>
      </c>
      <c r="H5944" t="s">
        <v>20</v>
      </c>
      <c r="I5944" s="1">
        <v>33.67</v>
      </c>
      <c r="J5944" s="1">
        <v>32.76</v>
      </c>
      <c r="K5944" t="s">
        <v>21</v>
      </c>
      <c r="L5944" s="1">
        <v>36.04</v>
      </c>
    </row>
    <row r="5945" spans="1:12">
      <c r="A5945" t="s">
        <v>2395</v>
      </c>
      <c r="B5945">
        <v>379820</v>
      </c>
      <c r="C5945" s="2" t="str">
        <f>"40040"</f>
        <v>40040</v>
      </c>
      <c r="D5945" t="s">
        <v>2406</v>
      </c>
      <c r="E5945" t="s">
        <v>4</v>
      </c>
      <c r="F5945">
        <v>2.1</v>
      </c>
      <c r="G5945">
        <v>0.35</v>
      </c>
      <c r="H5945" t="s">
        <v>20</v>
      </c>
      <c r="I5945" s="1">
        <v>39.200000000000003</v>
      </c>
      <c r="J5945" s="1">
        <v>38.14</v>
      </c>
      <c r="K5945" t="s">
        <v>21</v>
      </c>
      <c r="L5945" s="1">
        <v>41.96</v>
      </c>
    </row>
    <row r="5946" spans="1:12">
      <c r="A5946" t="s">
        <v>2395</v>
      </c>
      <c r="B5946">
        <v>379832</v>
      </c>
      <c r="C5946" s="2" t="str">
        <f>"40084"</f>
        <v>40084</v>
      </c>
      <c r="D5946" t="s">
        <v>2407</v>
      </c>
      <c r="E5946" t="s">
        <v>4</v>
      </c>
      <c r="F5946">
        <v>6.6</v>
      </c>
      <c r="G5946">
        <v>1.1000000000000001</v>
      </c>
      <c r="H5946" t="s">
        <v>20</v>
      </c>
      <c r="I5946" s="1">
        <v>33.07</v>
      </c>
      <c r="J5946" s="1">
        <v>32.18</v>
      </c>
      <c r="K5946" t="s">
        <v>21</v>
      </c>
      <c r="L5946" s="1">
        <v>35.39</v>
      </c>
    </row>
    <row r="5947" spans="1:12">
      <c r="A5947" t="s">
        <v>2395</v>
      </c>
      <c r="B5947">
        <v>379837</v>
      </c>
      <c r="C5947" s="2" t="str">
        <f>"40089"</f>
        <v>40089</v>
      </c>
      <c r="D5947" t="s">
        <v>2408</v>
      </c>
      <c r="E5947" t="s">
        <v>4</v>
      </c>
      <c r="F5947">
        <v>7.14</v>
      </c>
      <c r="G5947">
        <v>1.19</v>
      </c>
      <c r="H5947" t="s">
        <v>20</v>
      </c>
      <c r="I5947" s="1">
        <v>37.520000000000003</v>
      </c>
      <c r="J5947" s="1">
        <v>36.5</v>
      </c>
      <c r="K5947" t="s">
        <v>21</v>
      </c>
      <c r="L5947" s="1">
        <v>40.15</v>
      </c>
    </row>
    <row r="5948" spans="1:12">
      <c r="A5948" t="s">
        <v>2395</v>
      </c>
      <c r="B5948">
        <v>379846</v>
      </c>
      <c r="C5948" s="2" t="str">
        <f>"40199"</f>
        <v>40199</v>
      </c>
      <c r="D5948" t="s">
        <v>2409</v>
      </c>
      <c r="E5948" t="s">
        <v>4</v>
      </c>
      <c r="F5948">
        <v>1.56</v>
      </c>
      <c r="G5948">
        <v>0.26</v>
      </c>
      <c r="H5948" t="s">
        <v>20</v>
      </c>
      <c r="I5948" s="1">
        <v>41.13</v>
      </c>
      <c r="J5948" s="1">
        <v>40.01</v>
      </c>
      <c r="K5948" t="s">
        <v>21</v>
      </c>
      <c r="L5948" s="1">
        <v>44.02</v>
      </c>
    </row>
    <row r="5949" spans="1:12">
      <c r="A5949" t="s">
        <v>2395</v>
      </c>
      <c r="B5949">
        <v>379872</v>
      </c>
      <c r="C5949" s="2" t="str">
        <f>"40501"</f>
        <v>40501</v>
      </c>
      <c r="D5949" t="s">
        <v>2410</v>
      </c>
      <c r="E5949" t="s">
        <v>4</v>
      </c>
      <c r="F5949">
        <v>0.96</v>
      </c>
      <c r="G5949">
        <v>0.08</v>
      </c>
      <c r="H5949" t="s">
        <v>106</v>
      </c>
      <c r="I5949" s="1">
        <v>4.6900000000000004</v>
      </c>
      <c r="J5949" s="1">
        <v>4.5599999999999996</v>
      </c>
      <c r="K5949" t="s">
        <v>21</v>
      </c>
      <c r="L5949" s="1">
        <v>5.0199999999999996</v>
      </c>
    </row>
    <row r="5950" spans="1:12">
      <c r="A5950" t="s">
        <v>2395</v>
      </c>
      <c r="B5950">
        <v>379879</v>
      </c>
      <c r="C5950" s="2" t="str">
        <f>"40511"</f>
        <v>40511</v>
      </c>
      <c r="D5950" t="s">
        <v>2411</v>
      </c>
      <c r="E5950" t="s">
        <v>4</v>
      </c>
      <c r="F5950">
        <v>1.68</v>
      </c>
      <c r="G5950">
        <v>0.28000000000000003</v>
      </c>
      <c r="H5950" t="s">
        <v>20</v>
      </c>
      <c r="I5950" s="1">
        <v>15.99</v>
      </c>
      <c r="J5950" s="1">
        <v>15.56</v>
      </c>
      <c r="K5950" t="s">
        <v>21</v>
      </c>
      <c r="L5950" s="1">
        <v>17.12</v>
      </c>
    </row>
    <row r="5951" spans="1:12">
      <c r="A5951" t="s">
        <v>2395</v>
      </c>
      <c r="B5951">
        <v>379891</v>
      </c>
      <c r="C5951" s="2" t="str">
        <f>"40520"</f>
        <v>40520</v>
      </c>
      <c r="D5951" t="s">
        <v>2401</v>
      </c>
      <c r="E5951" t="s">
        <v>4</v>
      </c>
      <c r="F5951">
        <v>2.94</v>
      </c>
      <c r="G5951">
        <v>0.49</v>
      </c>
      <c r="H5951" t="s">
        <v>20</v>
      </c>
      <c r="I5951" s="1">
        <v>28.02</v>
      </c>
      <c r="J5951" s="1">
        <v>27.26</v>
      </c>
      <c r="K5951" t="s">
        <v>21</v>
      </c>
      <c r="L5951" s="1">
        <v>29.99</v>
      </c>
    </row>
    <row r="5952" spans="1:12">
      <c r="A5952" t="s">
        <v>2395</v>
      </c>
      <c r="B5952">
        <v>379896</v>
      </c>
      <c r="C5952" s="2" t="str">
        <f>"40521"</f>
        <v>40521</v>
      </c>
      <c r="D5952" t="s">
        <v>2402</v>
      </c>
      <c r="E5952" t="s">
        <v>4</v>
      </c>
      <c r="F5952">
        <v>3.12</v>
      </c>
      <c r="G5952">
        <v>0.52</v>
      </c>
      <c r="H5952" t="s">
        <v>20</v>
      </c>
      <c r="I5952" s="1">
        <v>31.14</v>
      </c>
      <c r="J5952" s="1">
        <v>30.3</v>
      </c>
      <c r="K5952" t="s">
        <v>21</v>
      </c>
      <c r="L5952" s="1">
        <v>33.33</v>
      </c>
    </row>
    <row r="5953" spans="1:12">
      <c r="A5953" t="s">
        <v>2395</v>
      </c>
      <c r="B5953">
        <v>379899</v>
      </c>
      <c r="C5953" s="2" t="str">
        <f>"40547"</f>
        <v>40547</v>
      </c>
      <c r="D5953" t="s">
        <v>2406</v>
      </c>
      <c r="E5953" t="s">
        <v>4</v>
      </c>
      <c r="F5953">
        <v>2.52</v>
      </c>
      <c r="G5953">
        <v>0.42</v>
      </c>
      <c r="H5953" t="s">
        <v>20</v>
      </c>
      <c r="I5953" s="1">
        <v>28.38</v>
      </c>
      <c r="J5953" s="1">
        <v>27.61</v>
      </c>
      <c r="K5953" t="s">
        <v>21</v>
      </c>
      <c r="L5953" s="1">
        <v>30.37</v>
      </c>
    </row>
    <row r="5954" spans="1:12">
      <c r="A5954" t="s">
        <v>2395</v>
      </c>
      <c r="B5954">
        <v>379903</v>
      </c>
      <c r="C5954" s="2" t="str">
        <f>"40548"</f>
        <v>40548</v>
      </c>
      <c r="D5954" t="s">
        <v>2412</v>
      </c>
      <c r="E5954" t="s">
        <v>4</v>
      </c>
      <c r="F5954">
        <v>1.32</v>
      </c>
      <c r="G5954">
        <v>0.22</v>
      </c>
      <c r="H5954" t="s">
        <v>20</v>
      </c>
      <c r="I5954" s="1">
        <v>17.559999999999999</v>
      </c>
      <c r="J5954" s="1">
        <v>17.079999999999998</v>
      </c>
      <c r="K5954" t="s">
        <v>21</v>
      </c>
      <c r="L5954" s="1">
        <v>18.79</v>
      </c>
    </row>
    <row r="5955" spans="1:12">
      <c r="A5955" t="s">
        <v>2395</v>
      </c>
      <c r="B5955">
        <v>379920</v>
      </c>
      <c r="C5955" s="2" t="str">
        <f>"40549"</f>
        <v>40549</v>
      </c>
      <c r="D5955" t="s">
        <v>2413</v>
      </c>
      <c r="E5955" t="s">
        <v>4</v>
      </c>
      <c r="F5955">
        <v>1.8</v>
      </c>
      <c r="G5955">
        <v>0.3</v>
      </c>
      <c r="H5955" t="s">
        <v>20</v>
      </c>
      <c r="I5955" s="1">
        <v>21.04</v>
      </c>
      <c r="J5955" s="1">
        <v>20.48</v>
      </c>
      <c r="K5955" t="s">
        <v>21</v>
      </c>
      <c r="L5955" s="1">
        <v>22.52</v>
      </c>
    </row>
    <row r="5956" spans="1:12">
      <c r="A5956" t="s">
        <v>2395</v>
      </c>
      <c r="B5956">
        <v>379923</v>
      </c>
      <c r="C5956" s="2" t="str">
        <f>"40584"</f>
        <v>40584</v>
      </c>
      <c r="D5956" t="s">
        <v>2414</v>
      </c>
      <c r="E5956" t="s">
        <v>4</v>
      </c>
      <c r="F5956">
        <v>4.8</v>
      </c>
      <c r="G5956">
        <v>0.8</v>
      </c>
      <c r="H5956" t="s">
        <v>20</v>
      </c>
      <c r="I5956" s="1">
        <v>24.65</v>
      </c>
      <c r="J5956" s="1">
        <v>23.99</v>
      </c>
      <c r="K5956" t="s">
        <v>21</v>
      </c>
      <c r="L5956" s="1">
        <v>26.38</v>
      </c>
    </row>
    <row r="5957" spans="1:12">
      <c r="A5957" t="s">
        <v>2395</v>
      </c>
      <c r="B5957">
        <v>379926</v>
      </c>
      <c r="C5957" s="2" t="str">
        <f>"40586"</f>
        <v>40586</v>
      </c>
      <c r="D5957" t="s">
        <v>2415</v>
      </c>
      <c r="E5957" t="s">
        <v>4</v>
      </c>
      <c r="F5957">
        <v>5.34</v>
      </c>
      <c r="G5957">
        <v>0.89</v>
      </c>
      <c r="H5957" t="s">
        <v>20</v>
      </c>
      <c r="I5957" s="1">
        <v>26.94</v>
      </c>
      <c r="J5957" s="1">
        <v>26.21</v>
      </c>
      <c r="K5957" t="s">
        <v>21</v>
      </c>
      <c r="L5957" s="1">
        <v>28.83</v>
      </c>
    </row>
    <row r="5958" spans="1:12">
      <c r="A5958" t="s">
        <v>2395</v>
      </c>
      <c r="B5958">
        <v>379930</v>
      </c>
      <c r="C5958" s="2" t="str">
        <f>"40600"</f>
        <v>40600</v>
      </c>
      <c r="D5958" t="s">
        <v>2416</v>
      </c>
      <c r="E5958" t="s">
        <v>4</v>
      </c>
      <c r="F5958">
        <v>0.72</v>
      </c>
      <c r="G5958">
        <v>0.06</v>
      </c>
      <c r="H5958" t="s">
        <v>106</v>
      </c>
      <c r="I5958" s="1">
        <v>3.85</v>
      </c>
      <c r="J5958" s="1">
        <v>3.74</v>
      </c>
      <c r="K5958" t="s">
        <v>21</v>
      </c>
      <c r="L5958" s="1">
        <v>4.12</v>
      </c>
    </row>
    <row r="5959" spans="1:12">
      <c r="A5959" t="s">
        <v>2395</v>
      </c>
      <c r="B5959">
        <v>379932</v>
      </c>
      <c r="C5959" s="2" t="str">
        <f>"40602"</f>
        <v>40602</v>
      </c>
      <c r="D5959" t="s">
        <v>2417</v>
      </c>
      <c r="E5959" t="s">
        <v>4</v>
      </c>
      <c r="F5959">
        <v>0.72</v>
      </c>
      <c r="G5959">
        <v>0.06</v>
      </c>
      <c r="H5959" t="s">
        <v>106</v>
      </c>
      <c r="I5959" s="1">
        <v>3.85</v>
      </c>
      <c r="J5959" s="1">
        <v>3.74</v>
      </c>
      <c r="K5959" t="s">
        <v>21</v>
      </c>
      <c r="L5959" s="1">
        <v>4.12</v>
      </c>
    </row>
    <row r="5960" spans="1:12">
      <c r="A5960" t="s">
        <v>2395</v>
      </c>
      <c r="B5960">
        <v>379934</v>
      </c>
      <c r="C5960" s="2" t="str">
        <f>"40640"</f>
        <v>40640</v>
      </c>
      <c r="D5960" t="s">
        <v>2418</v>
      </c>
      <c r="E5960" t="s">
        <v>4</v>
      </c>
      <c r="F5960">
        <v>2.2200000000000002</v>
      </c>
      <c r="G5960">
        <v>0.37</v>
      </c>
      <c r="H5960" t="s">
        <v>20</v>
      </c>
      <c r="I5960" s="1">
        <v>26.7</v>
      </c>
      <c r="J5960" s="1">
        <v>25.97</v>
      </c>
      <c r="K5960" t="s">
        <v>21</v>
      </c>
      <c r="L5960" s="1">
        <v>28.57</v>
      </c>
    </row>
    <row r="5961" spans="1:12">
      <c r="A5961" t="s">
        <v>2395</v>
      </c>
      <c r="B5961">
        <v>379937</v>
      </c>
      <c r="C5961" s="2" t="str">
        <f>"40645"</f>
        <v>40645</v>
      </c>
      <c r="D5961" t="s">
        <v>2419</v>
      </c>
      <c r="E5961" t="s">
        <v>4</v>
      </c>
      <c r="F5961">
        <v>3.3</v>
      </c>
      <c r="G5961">
        <v>0.55000000000000004</v>
      </c>
      <c r="H5961" t="s">
        <v>20</v>
      </c>
      <c r="I5961" s="1">
        <v>45.33</v>
      </c>
      <c r="J5961" s="1">
        <v>44.11</v>
      </c>
      <c r="K5961" t="s">
        <v>21</v>
      </c>
      <c r="L5961" s="1">
        <v>48.52</v>
      </c>
    </row>
    <row r="5962" spans="1:12">
      <c r="A5962" t="s">
        <v>2395</v>
      </c>
      <c r="B5962">
        <v>400091</v>
      </c>
      <c r="C5962" s="2" t="str">
        <f>"40646"</f>
        <v>40646</v>
      </c>
      <c r="D5962" t="s">
        <v>2420</v>
      </c>
      <c r="E5962" t="s">
        <v>4</v>
      </c>
      <c r="F5962">
        <v>0.54</v>
      </c>
      <c r="H5962" t="s">
        <v>5</v>
      </c>
      <c r="I5962" s="1">
        <v>59.88</v>
      </c>
      <c r="J5962" s="1">
        <v>58.27</v>
      </c>
      <c r="K5962" t="s">
        <v>6</v>
      </c>
    </row>
    <row r="5963" spans="1:12">
      <c r="A5963" t="s">
        <v>2395</v>
      </c>
      <c r="B5963">
        <v>402218</v>
      </c>
      <c r="C5963" s="2" t="str">
        <f>"41998"</f>
        <v>41998</v>
      </c>
      <c r="D5963" t="s">
        <v>2421</v>
      </c>
      <c r="E5963" t="s">
        <v>4</v>
      </c>
      <c r="F5963">
        <v>1.22</v>
      </c>
      <c r="H5963" t="s">
        <v>5</v>
      </c>
      <c r="I5963" s="1">
        <v>10.58</v>
      </c>
      <c r="J5963" s="1">
        <v>10.3</v>
      </c>
      <c r="K5963" t="s">
        <v>6</v>
      </c>
    </row>
    <row r="5964" spans="1:12">
      <c r="A5964" t="s">
        <v>2395</v>
      </c>
      <c r="B5964">
        <v>400087</v>
      </c>
      <c r="C5964" s="2" t="str">
        <f>"45896"</f>
        <v>45896</v>
      </c>
      <c r="D5964" t="s">
        <v>2422</v>
      </c>
      <c r="E5964" t="s">
        <v>4</v>
      </c>
      <c r="F5964">
        <v>0.3</v>
      </c>
      <c r="H5964" t="s">
        <v>5</v>
      </c>
      <c r="I5964" s="1">
        <v>16.71</v>
      </c>
      <c r="J5964" s="1">
        <v>16.260000000000002</v>
      </c>
      <c r="K5964" t="s">
        <v>6</v>
      </c>
    </row>
    <row r="5965" spans="1:12">
      <c r="A5965" t="s">
        <v>2395</v>
      </c>
      <c r="B5965">
        <v>379938</v>
      </c>
      <c r="C5965" s="2" t="str">
        <f>"46050"</f>
        <v>46050</v>
      </c>
      <c r="D5965" t="s">
        <v>2423</v>
      </c>
      <c r="E5965" t="s">
        <v>4</v>
      </c>
      <c r="F5965">
        <v>5.25</v>
      </c>
      <c r="H5965" t="s">
        <v>5</v>
      </c>
      <c r="I5965" s="1">
        <v>302.55</v>
      </c>
      <c r="J5965" s="1">
        <v>294.37</v>
      </c>
      <c r="K5965" t="s">
        <v>6</v>
      </c>
    </row>
    <row r="5966" spans="1:12">
      <c r="A5966" t="s">
        <v>2395</v>
      </c>
      <c r="B5966">
        <v>379939</v>
      </c>
      <c r="C5966" s="2" t="str">
        <f>"46550"</f>
        <v>46550</v>
      </c>
      <c r="D5966" t="s">
        <v>2424</v>
      </c>
      <c r="E5966" t="s">
        <v>4</v>
      </c>
      <c r="F5966">
        <v>0.42</v>
      </c>
      <c r="H5966" t="s">
        <v>5</v>
      </c>
      <c r="I5966" s="1">
        <v>56.64</v>
      </c>
      <c r="J5966" s="1">
        <v>55.11</v>
      </c>
      <c r="K5966" t="s">
        <v>6</v>
      </c>
    </row>
    <row r="5967" spans="1:12">
      <c r="A5967" t="s">
        <v>2395</v>
      </c>
      <c r="B5967">
        <v>431541</v>
      </c>
      <c r="C5967" s="2" t="str">
        <f>"47525"</f>
        <v>47525</v>
      </c>
      <c r="D5967" t="s">
        <v>2425</v>
      </c>
      <c r="E5967" t="s">
        <v>4</v>
      </c>
      <c r="F5967">
        <v>0.3</v>
      </c>
      <c r="H5967" t="s">
        <v>5</v>
      </c>
      <c r="I5967" s="1">
        <v>62.59</v>
      </c>
      <c r="J5967" s="1">
        <v>60.9</v>
      </c>
      <c r="K5967" t="s">
        <v>6</v>
      </c>
    </row>
    <row r="5968" spans="1:12">
      <c r="A5968" t="s">
        <v>2395</v>
      </c>
      <c r="B5968">
        <v>431542</v>
      </c>
      <c r="C5968" s="2" t="str">
        <f>"47552"</f>
        <v>47552</v>
      </c>
      <c r="D5968" t="s">
        <v>2426</v>
      </c>
      <c r="E5968" t="s">
        <v>4</v>
      </c>
      <c r="F5968">
        <v>0.3</v>
      </c>
      <c r="H5968" t="s">
        <v>5</v>
      </c>
      <c r="I5968" s="1">
        <v>16.11</v>
      </c>
      <c r="J5968" s="1">
        <v>15.68</v>
      </c>
      <c r="K5968" t="s">
        <v>6</v>
      </c>
    </row>
    <row r="5969" spans="1:12">
      <c r="A5969" t="s">
        <v>2395</v>
      </c>
      <c r="B5969">
        <v>431537</v>
      </c>
      <c r="C5969" s="2" t="str">
        <f>"47621"</f>
        <v>47621</v>
      </c>
      <c r="D5969" t="s">
        <v>2427</v>
      </c>
      <c r="E5969" t="s">
        <v>4</v>
      </c>
      <c r="F5969">
        <v>0.6</v>
      </c>
      <c r="H5969" t="s">
        <v>5</v>
      </c>
      <c r="I5969" s="1">
        <v>74.319999999999993</v>
      </c>
      <c r="J5969" s="1">
        <v>72.31</v>
      </c>
      <c r="K5969" t="s">
        <v>6</v>
      </c>
    </row>
    <row r="5970" spans="1:12">
      <c r="A5970" t="s">
        <v>2395</v>
      </c>
      <c r="B5970">
        <v>379940</v>
      </c>
      <c r="C5970" s="2" t="str">
        <f>"86003"</f>
        <v>86003</v>
      </c>
      <c r="D5970" t="s">
        <v>2428</v>
      </c>
      <c r="E5970" t="s">
        <v>4</v>
      </c>
      <c r="F5970">
        <v>2.2799999999999998</v>
      </c>
      <c r="G5970">
        <v>0.19</v>
      </c>
      <c r="H5970" t="s">
        <v>106</v>
      </c>
      <c r="I5970" s="1">
        <v>14.73</v>
      </c>
      <c r="J5970" s="1">
        <v>14.33</v>
      </c>
      <c r="K5970" t="s">
        <v>21</v>
      </c>
      <c r="L5970" s="1">
        <v>15.77</v>
      </c>
    </row>
    <row r="5971" spans="1:12">
      <c r="A5971" t="s">
        <v>2395</v>
      </c>
      <c r="B5971">
        <v>379941</v>
      </c>
      <c r="C5971" s="2" t="str">
        <f>"86004"</f>
        <v>86004</v>
      </c>
      <c r="D5971" t="s">
        <v>2429</v>
      </c>
      <c r="E5971" t="s">
        <v>4</v>
      </c>
      <c r="F5971">
        <v>2.2799999999999998</v>
      </c>
      <c r="G5971">
        <v>0.19</v>
      </c>
      <c r="H5971" t="s">
        <v>106</v>
      </c>
      <c r="I5971" s="1">
        <v>14.73</v>
      </c>
      <c r="J5971" s="1">
        <v>14.33</v>
      </c>
      <c r="K5971" t="s">
        <v>21</v>
      </c>
      <c r="L5971" s="1">
        <v>15.77</v>
      </c>
    </row>
    <row r="5972" spans="1:12">
      <c r="A5972" t="s">
        <v>2395</v>
      </c>
      <c r="B5972">
        <v>431284</v>
      </c>
      <c r="C5972" s="2" t="str">
        <f>"86502"</f>
        <v>86502</v>
      </c>
      <c r="D5972" t="s">
        <v>2430</v>
      </c>
      <c r="E5972" t="s">
        <v>4</v>
      </c>
      <c r="F5972">
        <v>1.92</v>
      </c>
      <c r="G5972">
        <v>0.16</v>
      </c>
      <c r="H5972" t="s">
        <v>106</v>
      </c>
      <c r="I5972" s="1">
        <v>14.73</v>
      </c>
      <c r="J5972" s="1">
        <v>14.33</v>
      </c>
      <c r="K5972" t="s">
        <v>21</v>
      </c>
      <c r="L5972" s="1">
        <v>15.77</v>
      </c>
    </row>
    <row r="5973" spans="1:12">
      <c r="A5973" t="s">
        <v>2395</v>
      </c>
      <c r="B5973">
        <v>379942</v>
      </c>
      <c r="C5973" s="2" t="str">
        <f>"86503"</f>
        <v>86503</v>
      </c>
      <c r="D5973" t="s">
        <v>2431</v>
      </c>
      <c r="E5973" t="s">
        <v>4</v>
      </c>
      <c r="F5973">
        <v>1.92</v>
      </c>
      <c r="G5973">
        <v>0.16</v>
      </c>
      <c r="H5973" t="s">
        <v>106</v>
      </c>
      <c r="I5973" s="1">
        <v>14.73</v>
      </c>
      <c r="J5973" s="1">
        <v>14.33</v>
      </c>
      <c r="K5973" t="s">
        <v>21</v>
      </c>
      <c r="L5973" s="1">
        <v>15.77</v>
      </c>
    </row>
    <row r="5974" spans="1:12">
      <c r="A5974" t="s">
        <v>2395</v>
      </c>
      <c r="B5974">
        <v>379943</v>
      </c>
      <c r="C5974" s="2" t="str">
        <f>"86504"</f>
        <v>86504</v>
      </c>
      <c r="D5974" t="s">
        <v>2432</v>
      </c>
      <c r="E5974" t="s">
        <v>4</v>
      </c>
      <c r="F5974">
        <v>2.2799999999999998</v>
      </c>
      <c r="G5974">
        <v>0.19</v>
      </c>
      <c r="H5974" t="s">
        <v>106</v>
      </c>
      <c r="I5974" s="1">
        <v>14.73</v>
      </c>
      <c r="J5974" s="1">
        <v>14.33</v>
      </c>
      <c r="K5974" t="s">
        <v>21</v>
      </c>
      <c r="L5974" s="1">
        <v>15.77</v>
      </c>
    </row>
    <row r="5975" spans="1:12">
      <c r="A5975" t="s">
        <v>2395</v>
      </c>
      <c r="B5975">
        <v>431285</v>
      </c>
      <c r="C5975" s="2" t="str">
        <f>"86505"</f>
        <v>86505</v>
      </c>
      <c r="D5975" t="s">
        <v>2433</v>
      </c>
      <c r="E5975" t="s">
        <v>4</v>
      </c>
      <c r="F5975">
        <v>2.2799999999999998</v>
      </c>
      <c r="G5975">
        <v>0.19</v>
      </c>
      <c r="H5975" t="s">
        <v>106</v>
      </c>
      <c r="I5975" s="1">
        <v>14.73</v>
      </c>
      <c r="J5975" s="1">
        <v>14.33</v>
      </c>
      <c r="K5975" t="s">
        <v>21</v>
      </c>
      <c r="L5975" s="1">
        <v>15.77</v>
      </c>
    </row>
    <row r="5976" spans="1:12">
      <c r="A5976" t="s">
        <v>6046</v>
      </c>
      <c r="B5976">
        <v>422305</v>
      </c>
      <c r="C5976" s="2" t="str">
        <f>"1002"</f>
        <v>1002</v>
      </c>
      <c r="D5976" t="s">
        <v>6047</v>
      </c>
      <c r="E5976" t="s">
        <v>4</v>
      </c>
      <c r="F5976">
        <v>13</v>
      </c>
      <c r="H5976" t="s">
        <v>5</v>
      </c>
      <c r="I5976" s="1">
        <v>488.61</v>
      </c>
      <c r="J5976" s="1">
        <v>464.18</v>
      </c>
      <c r="K5976" t="s">
        <v>6</v>
      </c>
    </row>
    <row r="5977" spans="1:12">
      <c r="A5977" t="s">
        <v>6046</v>
      </c>
      <c r="B5977">
        <v>433898</v>
      </c>
      <c r="C5977" s="2" t="str">
        <f>"1151"</f>
        <v>1151</v>
      </c>
      <c r="D5977" t="s">
        <v>6048</v>
      </c>
      <c r="E5977" t="s">
        <v>4</v>
      </c>
      <c r="F5977">
        <v>0.4</v>
      </c>
      <c r="H5977" t="s">
        <v>5</v>
      </c>
      <c r="I5977" s="1">
        <v>70.36</v>
      </c>
      <c r="J5977" s="1">
        <v>70.36</v>
      </c>
      <c r="K5977" t="s">
        <v>6</v>
      </c>
    </row>
    <row r="5978" spans="1:12">
      <c r="A5978" t="s">
        <v>6046</v>
      </c>
      <c r="B5978">
        <v>422291</v>
      </c>
      <c r="C5978" s="2" t="str">
        <f>"1230"</f>
        <v>1230</v>
      </c>
      <c r="D5978" t="s">
        <v>6049</v>
      </c>
      <c r="E5978" t="s">
        <v>4</v>
      </c>
      <c r="F5978">
        <v>13</v>
      </c>
      <c r="H5978" t="s">
        <v>5</v>
      </c>
      <c r="I5978" s="1">
        <v>513.66999999999996</v>
      </c>
      <c r="J5978" s="1">
        <v>487.98</v>
      </c>
      <c r="K5978" t="s">
        <v>6</v>
      </c>
    </row>
    <row r="5979" spans="1:12">
      <c r="A5979" t="s">
        <v>6046</v>
      </c>
      <c r="B5979">
        <v>422324</v>
      </c>
      <c r="C5979" s="2" t="str">
        <f>"15506"</f>
        <v>15506</v>
      </c>
      <c r="D5979" t="s">
        <v>6050</v>
      </c>
      <c r="E5979" t="s">
        <v>4</v>
      </c>
      <c r="F5979">
        <v>2</v>
      </c>
      <c r="H5979" t="s">
        <v>5</v>
      </c>
      <c r="I5979" s="1">
        <v>118.79</v>
      </c>
      <c r="J5979" s="1">
        <v>118.79</v>
      </c>
      <c r="K5979" t="s">
        <v>6</v>
      </c>
    </row>
    <row r="5980" spans="1:12">
      <c r="A5980" t="s">
        <v>6046</v>
      </c>
      <c r="B5980">
        <v>422301</v>
      </c>
      <c r="C5980" s="2" t="str">
        <f>"5029"</f>
        <v>5029</v>
      </c>
      <c r="D5980" t="s">
        <v>6051</v>
      </c>
      <c r="E5980" t="s">
        <v>4</v>
      </c>
      <c r="F5980">
        <v>13</v>
      </c>
      <c r="H5980" t="s">
        <v>5</v>
      </c>
      <c r="I5980" s="1">
        <v>513.66999999999996</v>
      </c>
      <c r="J5980" s="1">
        <v>487.98</v>
      </c>
      <c r="K5980" t="s">
        <v>6</v>
      </c>
    </row>
    <row r="5981" spans="1:12">
      <c r="A5981" t="s">
        <v>6046</v>
      </c>
      <c r="B5981">
        <v>422294</v>
      </c>
      <c r="C5981" s="2" t="str">
        <f>"748"</f>
        <v>748</v>
      </c>
      <c r="D5981" t="s">
        <v>6052</v>
      </c>
      <c r="E5981" t="s">
        <v>4</v>
      </c>
      <c r="F5981">
        <v>19.5</v>
      </c>
      <c r="H5981" t="s">
        <v>5</v>
      </c>
      <c r="I5981" s="1">
        <v>434.43</v>
      </c>
      <c r="J5981" s="1">
        <v>412.71</v>
      </c>
      <c r="K5981" t="s">
        <v>6</v>
      </c>
    </row>
    <row r="5982" spans="1:12">
      <c r="A5982" t="s">
        <v>6046</v>
      </c>
      <c r="B5982">
        <v>422312</v>
      </c>
      <c r="C5982" s="2" t="str">
        <f>"756"</f>
        <v>756</v>
      </c>
      <c r="D5982" t="s">
        <v>6053</v>
      </c>
      <c r="E5982" t="s">
        <v>4</v>
      </c>
      <c r="F5982">
        <v>3.2</v>
      </c>
      <c r="H5982" t="s">
        <v>5</v>
      </c>
      <c r="I5982" s="1">
        <v>117.63</v>
      </c>
      <c r="J5982" s="1">
        <v>117.63</v>
      </c>
      <c r="K5982" t="s">
        <v>6</v>
      </c>
    </row>
    <row r="5983" spans="1:12">
      <c r="A5983" t="s">
        <v>6046</v>
      </c>
      <c r="B5983">
        <v>422321</v>
      </c>
      <c r="C5983" s="2" t="str">
        <f>"891"</f>
        <v>891</v>
      </c>
      <c r="D5983" t="s">
        <v>6054</v>
      </c>
      <c r="E5983" t="s">
        <v>4</v>
      </c>
      <c r="F5983">
        <v>0.15</v>
      </c>
      <c r="H5983" t="s">
        <v>5</v>
      </c>
      <c r="I5983" s="1">
        <v>10.19</v>
      </c>
      <c r="J5983" s="1">
        <v>10.19</v>
      </c>
      <c r="K5983" t="s">
        <v>6</v>
      </c>
    </row>
    <row r="5984" spans="1:12">
      <c r="A5984" t="s">
        <v>6055</v>
      </c>
      <c r="B5984">
        <v>370878</v>
      </c>
      <c r="C5984" s="2" t="str">
        <f>"0644N"</f>
        <v>0644N</v>
      </c>
      <c r="D5984" t="s">
        <v>6056</v>
      </c>
      <c r="E5984" t="s">
        <v>4</v>
      </c>
      <c r="F5984">
        <v>14.22</v>
      </c>
      <c r="H5984" t="s">
        <v>5</v>
      </c>
      <c r="I5984" s="1">
        <v>376.35</v>
      </c>
      <c r="J5984" s="1">
        <v>357.53</v>
      </c>
      <c r="K5984" t="s">
        <v>6</v>
      </c>
    </row>
    <row r="5985" spans="1:12">
      <c r="A5985" t="s">
        <v>6055</v>
      </c>
      <c r="B5985">
        <v>377282</v>
      </c>
      <c r="C5985" s="2" t="str">
        <f>"0653"</f>
        <v>0653</v>
      </c>
      <c r="D5985" t="s">
        <v>4069</v>
      </c>
      <c r="E5985" t="s">
        <v>4</v>
      </c>
      <c r="F5985">
        <v>0.5</v>
      </c>
      <c r="H5985" t="s">
        <v>5</v>
      </c>
      <c r="I5985" s="1">
        <v>36.4</v>
      </c>
      <c r="J5985" s="1">
        <v>34.58</v>
      </c>
      <c r="K5985" t="s">
        <v>6</v>
      </c>
    </row>
    <row r="5986" spans="1:12">
      <c r="A5986" t="s">
        <v>6055</v>
      </c>
      <c r="B5986">
        <v>370630</v>
      </c>
      <c r="C5986" s="2" t="str">
        <f>"0654"</f>
        <v>0654</v>
      </c>
      <c r="D5986" t="s">
        <v>6057</v>
      </c>
      <c r="E5986" t="s">
        <v>4</v>
      </c>
      <c r="F5986">
        <v>0.48</v>
      </c>
      <c r="H5986" t="s">
        <v>5</v>
      </c>
      <c r="I5986" s="1">
        <v>36.4</v>
      </c>
      <c r="J5986" s="1">
        <v>34.58</v>
      </c>
      <c r="K5986" t="s">
        <v>6</v>
      </c>
    </row>
    <row r="5987" spans="1:12">
      <c r="A5987" t="s">
        <v>6055</v>
      </c>
      <c r="B5987">
        <v>370922</v>
      </c>
      <c r="C5987" s="2" t="str">
        <f>"1101"</f>
        <v>1101</v>
      </c>
      <c r="D5987" t="s">
        <v>6058</v>
      </c>
      <c r="E5987" t="s">
        <v>4</v>
      </c>
      <c r="F5987">
        <v>1.9</v>
      </c>
      <c r="H5987" t="s">
        <v>5</v>
      </c>
      <c r="I5987" s="1">
        <v>61.1</v>
      </c>
      <c r="J5987" s="1">
        <v>58.05</v>
      </c>
      <c r="K5987" t="s">
        <v>6</v>
      </c>
    </row>
    <row r="5988" spans="1:12">
      <c r="A5988" t="s">
        <v>6055</v>
      </c>
      <c r="B5988">
        <v>378480</v>
      </c>
      <c r="C5988" s="2" t="str">
        <f>"1102R"</f>
        <v>1102R</v>
      </c>
      <c r="D5988" t="s">
        <v>6059</v>
      </c>
      <c r="E5988" t="s">
        <v>4</v>
      </c>
      <c r="F5988">
        <v>1</v>
      </c>
      <c r="H5988" t="s">
        <v>5</v>
      </c>
      <c r="I5988" s="1">
        <v>62.4</v>
      </c>
      <c r="J5988" s="1">
        <v>59.28</v>
      </c>
      <c r="K5988" t="s">
        <v>6</v>
      </c>
    </row>
    <row r="5989" spans="1:12">
      <c r="A5989" t="s">
        <v>6055</v>
      </c>
      <c r="B5989">
        <v>482582</v>
      </c>
      <c r="C5989" s="2" t="str">
        <f>"1345"</f>
        <v>1345</v>
      </c>
      <c r="D5989" t="s">
        <v>6060</v>
      </c>
      <c r="E5989" t="s">
        <v>4</v>
      </c>
      <c r="F5989">
        <v>5.04</v>
      </c>
      <c r="G5989">
        <v>7.0000000000000007E-2</v>
      </c>
      <c r="H5989" t="s">
        <v>463</v>
      </c>
      <c r="I5989" s="1">
        <v>1.17</v>
      </c>
      <c r="J5989" s="1">
        <v>1.1100000000000001</v>
      </c>
      <c r="K5989" t="s">
        <v>21</v>
      </c>
      <c r="L5989" s="1">
        <v>1.22</v>
      </c>
    </row>
    <row r="5990" spans="1:12">
      <c r="A5990" t="s">
        <v>6055</v>
      </c>
      <c r="B5990">
        <v>429343</v>
      </c>
      <c r="C5990" s="2" t="str">
        <f>"1375-31"</f>
        <v>1375-31</v>
      </c>
      <c r="D5990" t="s">
        <v>6061</v>
      </c>
      <c r="E5990" t="s">
        <v>4</v>
      </c>
      <c r="F5990">
        <v>24.96</v>
      </c>
      <c r="G5990">
        <v>2.08</v>
      </c>
      <c r="H5990" t="s">
        <v>106</v>
      </c>
      <c r="I5990" s="1">
        <v>11.05</v>
      </c>
      <c r="J5990" s="1">
        <v>10.5</v>
      </c>
      <c r="K5990" t="s">
        <v>457</v>
      </c>
      <c r="L5990" s="1">
        <v>11.55</v>
      </c>
    </row>
    <row r="5991" spans="1:12">
      <c r="A5991" t="s">
        <v>6055</v>
      </c>
      <c r="B5991">
        <v>379589</v>
      </c>
      <c r="C5991" s="2" t="str">
        <f>"1401"</f>
        <v>1401</v>
      </c>
      <c r="D5991" t="s">
        <v>6062</v>
      </c>
      <c r="E5991" t="s">
        <v>4</v>
      </c>
      <c r="F5991">
        <v>2.64</v>
      </c>
      <c r="G5991">
        <v>0.11</v>
      </c>
      <c r="H5991" t="s">
        <v>666</v>
      </c>
      <c r="I5991" s="1">
        <v>3.38</v>
      </c>
      <c r="J5991" s="1">
        <v>3.21</v>
      </c>
      <c r="K5991" t="s">
        <v>457</v>
      </c>
      <c r="L5991" s="1">
        <v>3.53</v>
      </c>
    </row>
    <row r="5992" spans="1:12">
      <c r="A5992" t="s">
        <v>6055</v>
      </c>
      <c r="B5992">
        <v>397830</v>
      </c>
      <c r="C5992" s="2" t="str">
        <f>"15000"</f>
        <v>15000</v>
      </c>
      <c r="D5992" t="s">
        <v>6063</v>
      </c>
      <c r="E5992" t="s">
        <v>4</v>
      </c>
      <c r="F5992">
        <v>7.7</v>
      </c>
      <c r="H5992" t="s">
        <v>5</v>
      </c>
      <c r="I5992" s="1">
        <v>215.8</v>
      </c>
      <c r="J5992" s="1">
        <v>205.01</v>
      </c>
      <c r="K5992" t="s">
        <v>6</v>
      </c>
    </row>
    <row r="5993" spans="1:12">
      <c r="A5993" t="s">
        <v>6055</v>
      </c>
      <c r="B5993">
        <v>386170</v>
      </c>
      <c r="C5993" s="2" t="str">
        <f>"15002"</f>
        <v>15002</v>
      </c>
      <c r="D5993" t="s">
        <v>6064</v>
      </c>
      <c r="E5993" t="s">
        <v>4</v>
      </c>
      <c r="F5993">
        <v>7.5</v>
      </c>
      <c r="H5993" t="s">
        <v>5</v>
      </c>
      <c r="I5993" s="1">
        <v>215.8</v>
      </c>
      <c r="J5993" s="1">
        <v>205.01</v>
      </c>
      <c r="K5993" t="s">
        <v>6</v>
      </c>
    </row>
    <row r="5994" spans="1:12">
      <c r="A5994" t="s">
        <v>6055</v>
      </c>
      <c r="B5994">
        <v>378470</v>
      </c>
      <c r="C5994" s="2" t="str">
        <f>"15006"</f>
        <v>15006</v>
      </c>
      <c r="D5994" t="s">
        <v>6065</v>
      </c>
      <c r="E5994" t="s">
        <v>4</v>
      </c>
      <c r="F5994">
        <v>8</v>
      </c>
      <c r="H5994" t="s">
        <v>5</v>
      </c>
      <c r="I5994" s="1">
        <v>215.8</v>
      </c>
      <c r="J5994" s="1">
        <v>205.01</v>
      </c>
      <c r="K5994" t="s">
        <v>6</v>
      </c>
    </row>
    <row r="5995" spans="1:12">
      <c r="A5995" t="s">
        <v>6055</v>
      </c>
      <c r="B5995">
        <v>396960</v>
      </c>
      <c r="C5995" s="2" t="str">
        <f>"15062"</f>
        <v>15062</v>
      </c>
      <c r="D5995" t="s">
        <v>6066</v>
      </c>
      <c r="E5995" t="s">
        <v>4</v>
      </c>
      <c r="F5995">
        <v>0.54</v>
      </c>
      <c r="H5995" t="s">
        <v>5</v>
      </c>
      <c r="I5995" s="1">
        <v>77.349999999999994</v>
      </c>
      <c r="J5995" s="1">
        <v>73.48</v>
      </c>
      <c r="K5995" t="s">
        <v>6</v>
      </c>
    </row>
    <row r="5996" spans="1:12">
      <c r="A5996" t="s">
        <v>6055</v>
      </c>
      <c r="B5996">
        <v>416076</v>
      </c>
      <c r="C5996" s="2" t="str">
        <f>"15063"</f>
        <v>15063</v>
      </c>
      <c r="D5996" t="s">
        <v>6067</v>
      </c>
      <c r="E5996" t="s">
        <v>4</v>
      </c>
      <c r="F5996">
        <v>0.44</v>
      </c>
      <c r="H5996" t="s">
        <v>5</v>
      </c>
      <c r="I5996" s="1">
        <v>77.349999999999994</v>
      </c>
      <c r="J5996" s="1">
        <v>73.48</v>
      </c>
      <c r="K5996" t="s">
        <v>6</v>
      </c>
    </row>
    <row r="5997" spans="1:12">
      <c r="A5997" t="s">
        <v>6055</v>
      </c>
      <c r="B5997">
        <v>386460</v>
      </c>
      <c r="C5997" s="2" t="str">
        <f>"15064"</f>
        <v>15064</v>
      </c>
      <c r="D5997" t="s">
        <v>6068</v>
      </c>
      <c r="E5997" t="s">
        <v>4</v>
      </c>
      <c r="F5997">
        <v>1</v>
      </c>
      <c r="H5997" t="s">
        <v>5</v>
      </c>
      <c r="I5997" s="1">
        <v>77.349999999999994</v>
      </c>
      <c r="J5997" s="1">
        <v>73.48</v>
      </c>
      <c r="K5997" t="s">
        <v>6</v>
      </c>
    </row>
    <row r="5998" spans="1:12">
      <c r="A5998" t="s">
        <v>6055</v>
      </c>
      <c r="B5998">
        <v>398949</v>
      </c>
      <c r="C5998" s="2" t="str">
        <f>"15105"</f>
        <v>15105</v>
      </c>
      <c r="D5998" t="s">
        <v>6069</v>
      </c>
      <c r="E5998" t="s">
        <v>4</v>
      </c>
      <c r="F5998">
        <v>18.5</v>
      </c>
      <c r="H5998" t="s">
        <v>5</v>
      </c>
      <c r="I5998" s="1">
        <v>417.3</v>
      </c>
      <c r="J5998" s="1">
        <v>396.44</v>
      </c>
      <c r="K5998" t="s">
        <v>6</v>
      </c>
    </row>
    <row r="5999" spans="1:12">
      <c r="A5999" t="s">
        <v>6055</v>
      </c>
      <c r="B5999">
        <v>429662</v>
      </c>
      <c r="C5999" s="2" t="str">
        <f>"15149"</f>
        <v>15149</v>
      </c>
      <c r="D5999" t="s">
        <v>6070</v>
      </c>
      <c r="E5999" t="s">
        <v>4</v>
      </c>
      <c r="F5999">
        <v>0.45</v>
      </c>
      <c r="H5999" t="s">
        <v>5</v>
      </c>
      <c r="I5999" s="1">
        <v>12.35</v>
      </c>
      <c r="J5999" s="1">
        <v>11.73</v>
      </c>
      <c r="K5999" t="s">
        <v>6</v>
      </c>
    </row>
    <row r="6000" spans="1:12">
      <c r="A6000" t="s">
        <v>6055</v>
      </c>
      <c r="B6000">
        <v>429342</v>
      </c>
      <c r="C6000" s="2" t="str">
        <f>"1520-31"</f>
        <v>1520-31</v>
      </c>
      <c r="D6000" t="s">
        <v>6071</v>
      </c>
      <c r="E6000" t="s">
        <v>4</v>
      </c>
      <c r="F6000">
        <v>35.04</v>
      </c>
      <c r="G6000">
        <v>1.46</v>
      </c>
      <c r="H6000" t="s">
        <v>666</v>
      </c>
      <c r="I6000" s="1">
        <v>7.8</v>
      </c>
      <c r="J6000" s="1">
        <v>7.41</v>
      </c>
      <c r="K6000" t="s">
        <v>457</v>
      </c>
      <c r="L6000" s="1">
        <v>8.15</v>
      </c>
    </row>
    <row r="6001" spans="1:12">
      <c r="A6001" t="s">
        <v>6055</v>
      </c>
      <c r="B6001">
        <v>429344</v>
      </c>
      <c r="C6001" s="2" t="str">
        <f>"1521-31"</f>
        <v>1521-31</v>
      </c>
      <c r="D6001" t="s">
        <v>6072</v>
      </c>
      <c r="E6001" t="s">
        <v>4</v>
      </c>
      <c r="F6001">
        <v>26.04</v>
      </c>
      <c r="G6001">
        <v>2.17</v>
      </c>
      <c r="H6001" t="s">
        <v>106</v>
      </c>
      <c r="I6001" s="1">
        <v>10.99</v>
      </c>
      <c r="J6001" s="1">
        <v>10.44</v>
      </c>
      <c r="K6001" t="s">
        <v>457</v>
      </c>
      <c r="L6001" s="1">
        <v>11.48</v>
      </c>
    </row>
    <row r="6002" spans="1:12">
      <c r="A6002" t="s">
        <v>6055</v>
      </c>
      <c r="B6002">
        <v>486816</v>
      </c>
      <c r="C6002" s="2" t="str">
        <f>"1522-31"</f>
        <v>1522-31</v>
      </c>
      <c r="D6002" t="s">
        <v>6073</v>
      </c>
      <c r="E6002" t="s">
        <v>4</v>
      </c>
      <c r="F6002">
        <v>15.96</v>
      </c>
      <c r="G6002">
        <v>1.33</v>
      </c>
      <c r="H6002" t="s">
        <v>106</v>
      </c>
      <c r="I6002" s="1">
        <v>6.83</v>
      </c>
      <c r="J6002" s="1">
        <v>6.48</v>
      </c>
      <c r="K6002" t="s">
        <v>21</v>
      </c>
      <c r="L6002" s="1">
        <v>7.13</v>
      </c>
    </row>
    <row r="6003" spans="1:12">
      <c r="A6003" t="s">
        <v>6055</v>
      </c>
      <c r="B6003">
        <v>429345</v>
      </c>
      <c r="C6003" s="2" t="str">
        <f>"1527-31"</f>
        <v>1527-31</v>
      </c>
      <c r="D6003" t="s">
        <v>6074</v>
      </c>
      <c r="E6003" t="s">
        <v>4</v>
      </c>
      <c r="F6003">
        <v>24.36</v>
      </c>
      <c r="G6003">
        <v>2.0299999999999998</v>
      </c>
      <c r="H6003" t="s">
        <v>106</v>
      </c>
      <c r="I6003" s="1">
        <v>8.9700000000000006</v>
      </c>
      <c r="J6003" s="1">
        <v>8.52</v>
      </c>
      <c r="K6003" t="s">
        <v>457</v>
      </c>
      <c r="L6003" s="1">
        <v>9.3699999999999992</v>
      </c>
    </row>
    <row r="6004" spans="1:12">
      <c r="A6004" t="s">
        <v>6055</v>
      </c>
      <c r="B6004">
        <v>380782</v>
      </c>
      <c r="C6004" s="2" t="str">
        <f>"1697"</f>
        <v>1697</v>
      </c>
      <c r="D6004" t="s">
        <v>6075</v>
      </c>
      <c r="E6004" t="s">
        <v>4</v>
      </c>
      <c r="F6004">
        <v>15</v>
      </c>
      <c r="H6004" t="s">
        <v>5</v>
      </c>
      <c r="I6004" s="1">
        <v>113.3</v>
      </c>
      <c r="J6004" s="1">
        <v>107.63</v>
      </c>
      <c r="K6004" t="s">
        <v>6</v>
      </c>
    </row>
    <row r="6005" spans="1:12">
      <c r="A6005" t="s">
        <v>6055</v>
      </c>
      <c r="B6005">
        <v>397855</v>
      </c>
      <c r="C6005" s="2" t="str">
        <f>"1801"</f>
        <v>1801</v>
      </c>
      <c r="D6005" t="s">
        <v>6076</v>
      </c>
      <c r="E6005" t="s">
        <v>4</v>
      </c>
      <c r="F6005">
        <v>6.48</v>
      </c>
      <c r="G6005">
        <v>0.54</v>
      </c>
      <c r="H6005" t="s">
        <v>106</v>
      </c>
      <c r="I6005" s="1">
        <v>42.9</v>
      </c>
      <c r="J6005" s="1">
        <v>40.76</v>
      </c>
      <c r="K6005" t="s">
        <v>457</v>
      </c>
      <c r="L6005" s="1">
        <v>44.83</v>
      </c>
    </row>
    <row r="6006" spans="1:12">
      <c r="A6006" t="s">
        <v>6055</v>
      </c>
      <c r="B6006">
        <v>397834</v>
      </c>
      <c r="C6006" s="2" t="str">
        <f>"1811"</f>
        <v>1811</v>
      </c>
      <c r="D6006" t="s">
        <v>6077</v>
      </c>
      <c r="E6006" t="s">
        <v>4</v>
      </c>
      <c r="F6006">
        <v>4.0999999999999996</v>
      </c>
      <c r="H6006" t="s">
        <v>5</v>
      </c>
      <c r="I6006" s="1">
        <v>212.55</v>
      </c>
      <c r="J6006" s="1">
        <v>201.92</v>
      </c>
      <c r="K6006" t="s">
        <v>6</v>
      </c>
    </row>
    <row r="6007" spans="1:12">
      <c r="A6007" t="s">
        <v>6055</v>
      </c>
      <c r="B6007">
        <v>425214</v>
      </c>
      <c r="C6007" s="2" t="str">
        <f>"19192"</f>
        <v>19192</v>
      </c>
      <c r="D6007" t="s">
        <v>6078</v>
      </c>
      <c r="E6007" t="s">
        <v>4</v>
      </c>
      <c r="F6007">
        <v>7.84</v>
      </c>
      <c r="G6007">
        <v>1.96</v>
      </c>
      <c r="H6007" t="s">
        <v>153</v>
      </c>
      <c r="I6007" s="1">
        <v>52.33</v>
      </c>
      <c r="J6007" s="1">
        <v>49.71</v>
      </c>
      <c r="K6007" t="s">
        <v>457</v>
      </c>
      <c r="L6007" s="1">
        <v>54.68</v>
      </c>
    </row>
    <row r="6008" spans="1:12">
      <c r="A6008" t="s">
        <v>6055</v>
      </c>
      <c r="B6008">
        <v>381772</v>
      </c>
      <c r="C6008" s="2" t="str">
        <f>"20000"</f>
        <v>20000</v>
      </c>
      <c r="D6008" t="s">
        <v>6079</v>
      </c>
      <c r="E6008" t="s">
        <v>4</v>
      </c>
      <c r="F6008">
        <v>10.8</v>
      </c>
      <c r="G6008">
        <v>1.8</v>
      </c>
      <c r="H6008" t="s">
        <v>20</v>
      </c>
      <c r="I6008" s="1">
        <v>28.73</v>
      </c>
      <c r="J6008" s="1">
        <v>27.29</v>
      </c>
      <c r="K6008" t="s">
        <v>457</v>
      </c>
      <c r="L6008" s="1">
        <v>30.02</v>
      </c>
    </row>
    <row r="6009" spans="1:12">
      <c r="A6009" t="s">
        <v>6055</v>
      </c>
      <c r="B6009">
        <v>381771</v>
      </c>
      <c r="C6009" s="2" t="str">
        <f>"20200"</f>
        <v>20200</v>
      </c>
      <c r="D6009" t="s">
        <v>6080</v>
      </c>
      <c r="E6009" t="s">
        <v>4</v>
      </c>
      <c r="F6009">
        <v>5.0999999999999996</v>
      </c>
      <c r="G6009">
        <v>0.85</v>
      </c>
      <c r="H6009" t="s">
        <v>20</v>
      </c>
      <c r="I6009" s="1">
        <v>16.190000000000001</v>
      </c>
      <c r="J6009" s="1">
        <v>15.38</v>
      </c>
      <c r="K6009" t="s">
        <v>457</v>
      </c>
      <c r="L6009" s="1">
        <v>16.91</v>
      </c>
    </row>
    <row r="6010" spans="1:12">
      <c r="A6010" t="s">
        <v>6055</v>
      </c>
      <c r="B6010">
        <v>484633</v>
      </c>
      <c r="C6010" s="2" t="str">
        <f>"20228"</f>
        <v>20228</v>
      </c>
      <c r="D6010" t="s">
        <v>6081</v>
      </c>
      <c r="E6010" t="s">
        <v>4</v>
      </c>
      <c r="F6010">
        <v>14.76</v>
      </c>
      <c r="G6010">
        <v>1.23</v>
      </c>
      <c r="H6010" t="s">
        <v>106</v>
      </c>
      <c r="I6010" s="1">
        <v>12.87</v>
      </c>
      <c r="J6010" s="1">
        <v>12.23</v>
      </c>
      <c r="K6010" t="s">
        <v>21</v>
      </c>
      <c r="L6010" s="1">
        <v>13.45</v>
      </c>
    </row>
    <row r="6011" spans="1:12">
      <c r="A6011" t="s">
        <v>6055</v>
      </c>
      <c r="B6011">
        <v>487321</v>
      </c>
      <c r="C6011" s="2" t="str">
        <f>"20300"</f>
        <v>20300</v>
      </c>
      <c r="D6011" t="s">
        <v>6082</v>
      </c>
      <c r="E6011" t="s">
        <v>4</v>
      </c>
      <c r="F6011">
        <v>3.72</v>
      </c>
      <c r="G6011">
        <v>0.62</v>
      </c>
      <c r="H6011" t="s">
        <v>20</v>
      </c>
      <c r="I6011" s="1">
        <v>14.17</v>
      </c>
      <c r="J6011" s="1">
        <v>13.46</v>
      </c>
      <c r="K6011" t="s">
        <v>21</v>
      </c>
      <c r="L6011" s="1">
        <v>14.81</v>
      </c>
    </row>
    <row r="6012" spans="1:12">
      <c r="A6012" t="s">
        <v>6055</v>
      </c>
      <c r="B6012">
        <v>410170</v>
      </c>
      <c r="C6012" s="2" t="str">
        <f>"206-0"</f>
        <v>206-0</v>
      </c>
      <c r="D6012" t="s">
        <v>6083</v>
      </c>
      <c r="E6012" t="s">
        <v>4</v>
      </c>
      <c r="F6012">
        <v>6</v>
      </c>
      <c r="H6012" t="s">
        <v>5</v>
      </c>
      <c r="I6012" s="1">
        <v>136.5</v>
      </c>
      <c r="J6012" s="1">
        <v>129.68</v>
      </c>
      <c r="K6012" t="s">
        <v>6</v>
      </c>
    </row>
    <row r="6013" spans="1:12">
      <c r="A6013" t="s">
        <v>6055</v>
      </c>
      <c r="B6013">
        <v>534794</v>
      </c>
      <c r="C6013" s="2" t="str">
        <f>"23850"</f>
        <v>23850</v>
      </c>
      <c r="D6013" t="s">
        <v>6084</v>
      </c>
      <c r="E6013" t="s">
        <v>4</v>
      </c>
      <c r="F6013">
        <v>1.56</v>
      </c>
      <c r="H6013" t="s">
        <v>5</v>
      </c>
      <c r="I6013" s="1">
        <v>30.55</v>
      </c>
      <c r="J6013" s="1">
        <v>29.02</v>
      </c>
      <c r="K6013" t="s">
        <v>6</v>
      </c>
    </row>
    <row r="6014" spans="1:12">
      <c r="A6014" t="s">
        <v>6055</v>
      </c>
      <c r="B6014">
        <v>417380</v>
      </c>
      <c r="C6014" s="2" t="str">
        <f>"260"</f>
        <v>260</v>
      </c>
      <c r="D6014" t="s">
        <v>6085</v>
      </c>
      <c r="E6014" t="s">
        <v>4</v>
      </c>
      <c r="F6014">
        <v>2</v>
      </c>
      <c r="H6014" t="s">
        <v>5</v>
      </c>
      <c r="I6014" s="1">
        <v>51.48</v>
      </c>
      <c r="J6014" s="1">
        <v>48.91</v>
      </c>
      <c r="K6014" t="s">
        <v>6</v>
      </c>
    </row>
    <row r="6015" spans="1:12">
      <c r="A6015" t="s">
        <v>6055</v>
      </c>
      <c r="B6015">
        <v>380881</v>
      </c>
      <c r="C6015" s="2" t="str">
        <f>"2803-18"</f>
        <v>2803-18</v>
      </c>
      <c r="D6015" t="s">
        <v>6086</v>
      </c>
      <c r="E6015" t="s">
        <v>4</v>
      </c>
      <c r="F6015">
        <v>2</v>
      </c>
      <c r="H6015" t="s">
        <v>5</v>
      </c>
      <c r="I6015" s="1">
        <v>111.09</v>
      </c>
      <c r="J6015" s="1">
        <v>105.53</v>
      </c>
      <c r="K6015" t="s">
        <v>6</v>
      </c>
    </row>
    <row r="6016" spans="1:12">
      <c r="A6016" t="s">
        <v>6055</v>
      </c>
      <c r="B6016">
        <v>379629</v>
      </c>
      <c r="C6016" s="2" t="str">
        <f>"30022"</f>
        <v>30022</v>
      </c>
      <c r="D6016" t="s">
        <v>6087</v>
      </c>
      <c r="E6016" t="s">
        <v>4</v>
      </c>
      <c r="F6016">
        <v>18.48</v>
      </c>
      <c r="G6016">
        <v>3.08</v>
      </c>
      <c r="H6016" t="s">
        <v>20</v>
      </c>
      <c r="I6016" s="1">
        <v>22.23</v>
      </c>
      <c r="J6016" s="1">
        <v>21.12</v>
      </c>
      <c r="K6016" t="s">
        <v>457</v>
      </c>
      <c r="L6016" s="1">
        <v>23.23</v>
      </c>
    </row>
    <row r="6017" spans="1:12">
      <c r="A6017" t="s">
        <v>6055</v>
      </c>
      <c r="B6017">
        <v>379630</v>
      </c>
      <c r="C6017" s="2" t="str">
        <f>"30023"</f>
        <v>30023</v>
      </c>
      <c r="D6017" t="s">
        <v>6088</v>
      </c>
      <c r="E6017" t="s">
        <v>4</v>
      </c>
      <c r="F6017">
        <v>16.86</v>
      </c>
      <c r="G6017">
        <v>2.81</v>
      </c>
      <c r="H6017" t="s">
        <v>20</v>
      </c>
      <c r="I6017" s="1">
        <v>36.729999999999997</v>
      </c>
      <c r="J6017" s="1">
        <v>34.89</v>
      </c>
      <c r="K6017" t="s">
        <v>457</v>
      </c>
      <c r="L6017" s="1">
        <v>38.380000000000003</v>
      </c>
    </row>
    <row r="6018" spans="1:12">
      <c r="A6018" t="s">
        <v>6055</v>
      </c>
      <c r="B6018">
        <v>379631</v>
      </c>
      <c r="C6018" s="2" t="str">
        <f>"30042"</f>
        <v>30042</v>
      </c>
      <c r="D6018" t="s">
        <v>6089</v>
      </c>
      <c r="E6018" t="s">
        <v>4</v>
      </c>
      <c r="F6018">
        <v>21.9</v>
      </c>
      <c r="G6018">
        <v>3.65</v>
      </c>
      <c r="H6018" t="s">
        <v>20</v>
      </c>
      <c r="I6018" s="1">
        <v>29.77</v>
      </c>
      <c r="J6018" s="1">
        <v>28.28</v>
      </c>
      <c r="K6018" t="s">
        <v>457</v>
      </c>
      <c r="L6018" s="1">
        <v>31.11</v>
      </c>
    </row>
    <row r="6019" spans="1:12">
      <c r="A6019" t="s">
        <v>6055</v>
      </c>
      <c r="B6019">
        <v>379632</v>
      </c>
      <c r="C6019" s="2" t="str">
        <f>"30043"</f>
        <v>30043</v>
      </c>
      <c r="D6019" t="s">
        <v>6090</v>
      </c>
      <c r="E6019" t="s">
        <v>4</v>
      </c>
      <c r="F6019">
        <v>19.14</v>
      </c>
      <c r="G6019">
        <v>3.19</v>
      </c>
      <c r="H6019" t="s">
        <v>20</v>
      </c>
      <c r="I6019" s="1">
        <v>45.96</v>
      </c>
      <c r="J6019" s="1">
        <v>43.66</v>
      </c>
      <c r="K6019" t="s">
        <v>457</v>
      </c>
      <c r="L6019" s="1">
        <v>48.02</v>
      </c>
    </row>
    <row r="6020" spans="1:12">
      <c r="A6020" t="s">
        <v>6055</v>
      </c>
      <c r="B6020">
        <v>379633</v>
      </c>
      <c r="C6020" s="2" t="str">
        <f>"30062"</f>
        <v>30062</v>
      </c>
      <c r="D6020" t="s">
        <v>6091</v>
      </c>
      <c r="E6020" t="s">
        <v>4</v>
      </c>
      <c r="F6020">
        <v>26.16</v>
      </c>
      <c r="G6020">
        <v>4.3600000000000003</v>
      </c>
      <c r="H6020" t="s">
        <v>20</v>
      </c>
      <c r="I6020" s="1">
        <v>44.46</v>
      </c>
      <c r="J6020" s="1">
        <v>42.24</v>
      </c>
      <c r="K6020" t="s">
        <v>457</v>
      </c>
      <c r="L6020" s="1">
        <v>46.46</v>
      </c>
    </row>
    <row r="6021" spans="1:12">
      <c r="A6021" t="s">
        <v>6055</v>
      </c>
      <c r="B6021">
        <v>379531</v>
      </c>
      <c r="C6021" s="2" t="str">
        <f>"3009"</f>
        <v>3009</v>
      </c>
      <c r="D6021" t="s">
        <v>6092</v>
      </c>
      <c r="E6021" t="s">
        <v>4</v>
      </c>
      <c r="F6021">
        <v>2.16</v>
      </c>
      <c r="G6021">
        <v>0.18</v>
      </c>
      <c r="H6021" t="s">
        <v>106</v>
      </c>
      <c r="I6021" s="1">
        <v>6.31</v>
      </c>
      <c r="J6021" s="1">
        <v>5.99</v>
      </c>
      <c r="K6021" t="s">
        <v>457</v>
      </c>
      <c r="L6021" s="1">
        <v>6.59</v>
      </c>
    </row>
    <row r="6022" spans="1:12">
      <c r="A6022" t="s">
        <v>6055</v>
      </c>
      <c r="B6022">
        <v>379536</v>
      </c>
      <c r="C6022" s="2" t="str">
        <f>"3010"</f>
        <v>3010</v>
      </c>
      <c r="D6022" t="s">
        <v>6093</v>
      </c>
      <c r="E6022" t="s">
        <v>4</v>
      </c>
      <c r="F6022">
        <v>1.8</v>
      </c>
      <c r="G6022">
        <v>0.15</v>
      </c>
      <c r="H6022" t="s">
        <v>106</v>
      </c>
      <c r="I6022" s="1">
        <v>4.68</v>
      </c>
      <c r="J6022" s="1">
        <v>4.45</v>
      </c>
      <c r="K6022" t="s">
        <v>457</v>
      </c>
      <c r="L6022" s="1">
        <v>4.8899999999999997</v>
      </c>
    </row>
    <row r="6023" spans="1:12">
      <c r="A6023" t="s">
        <v>6055</v>
      </c>
      <c r="B6023">
        <v>379537</v>
      </c>
      <c r="C6023" s="2" t="str">
        <f>"3011"</f>
        <v>3011</v>
      </c>
      <c r="D6023" t="s">
        <v>6094</v>
      </c>
      <c r="E6023" t="s">
        <v>4</v>
      </c>
      <c r="F6023">
        <v>10.8</v>
      </c>
      <c r="G6023">
        <v>0.9</v>
      </c>
      <c r="H6023" t="s">
        <v>106</v>
      </c>
      <c r="I6023" s="1">
        <v>4.03</v>
      </c>
      <c r="J6023" s="1">
        <v>3.83</v>
      </c>
      <c r="K6023" t="s">
        <v>457</v>
      </c>
      <c r="L6023" s="1">
        <v>4.21</v>
      </c>
    </row>
    <row r="6024" spans="1:12">
      <c r="A6024" t="s">
        <v>6055</v>
      </c>
      <c r="B6024">
        <v>379634</v>
      </c>
      <c r="C6024" s="2" t="str">
        <f>"30222"</f>
        <v>30222</v>
      </c>
      <c r="D6024" t="s">
        <v>6095</v>
      </c>
      <c r="E6024" t="s">
        <v>4</v>
      </c>
      <c r="F6024">
        <v>10.8</v>
      </c>
      <c r="G6024">
        <v>1.8</v>
      </c>
      <c r="H6024" t="s">
        <v>20</v>
      </c>
      <c r="I6024" s="1">
        <v>13.85</v>
      </c>
      <c r="J6024" s="1">
        <v>13.15</v>
      </c>
      <c r="K6024" t="s">
        <v>457</v>
      </c>
      <c r="L6024" s="1">
        <v>14.47</v>
      </c>
    </row>
    <row r="6025" spans="1:12">
      <c r="A6025" t="s">
        <v>6055</v>
      </c>
      <c r="B6025">
        <v>379635</v>
      </c>
      <c r="C6025" s="2" t="str">
        <f>"30242"</f>
        <v>30242</v>
      </c>
      <c r="D6025" t="s">
        <v>6096</v>
      </c>
      <c r="E6025" t="s">
        <v>4</v>
      </c>
      <c r="F6025">
        <v>12</v>
      </c>
      <c r="G6025">
        <v>2</v>
      </c>
      <c r="H6025" t="s">
        <v>20</v>
      </c>
      <c r="I6025" s="1">
        <v>19.760000000000002</v>
      </c>
      <c r="J6025" s="1">
        <v>18.77</v>
      </c>
      <c r="K6025" t="s">
        <v>457</v>
      </c>
      <c r="L6025" s="1">
        <v>20.65</v>
      </c>
    </row>
    <row r="6026" spans="1:12">
      <c r="A6026" t="s">
        <v>6055</v>
      </c>
      <c r="B6026">
        <v>379636</v>
      </c>
      <c r="C6026" s="2" t="str">
        <f>"30243"</f>
        <v>30243</v>
      </c>
      <c r="D6026" t="s">
        <v>6097</v>
      </c>
      <c r="E6026" t="s">
        <v>4</v>
      </c>
      <c r="F6026">
        <v>11.88</v>
      </c>
      <c r="G6026">
        <v>1.98</v>
      </c>
      <c r="H6026" t="s">
        <v>20</v>
      </c>
      <c r="I6026" s="1">
        <v>30.1</v>
      </c>
      <c r="J6026" s="1">
        <v>28.59</v>
      </c>
      <c r="K6026" t="s">
        <v>457</v>
      </c>
      <c r="L6026" s="1">
        <v>31.45</v>
      </c>
    </row>
    <row r="6027" spans="1:12">
      <c r="A6027" t="s">
        <v>6055</v>
      </c>
      <c r="B6027">
        <v>379637</v>
      </c>
      <c r="C6027" s="2" t="str">
        <f>"30262"</f>
        <v>30262</v>
      </c>
      <c r="D6027" t="s">
        <v>6098</v>
      </c>
      <c r="E6027" t="s">
        <v>4</v>
      </c>
      <c r="F6027">
        <v>14.58</v>
      </c>
      <c r="G6027">
        <v>2.4300000000000002</v>
      </c>
      <c r="H6027" t="s">
        <v>20</v>
      </c>
      <c r="I6027" s="1">
        <v>27.5</v>
      </c>
      <c r="J6027" s="1">
        <v>26.12</v>
      </c>
      <c r="K6027" t="s">
        <v>457</v>
      </c>
      <c r="L6027" s="1">
        <v>28.73</v>
      </c>
    </row>
    <row r="6028" spans="1:12">
      <c r="A6028" t="s">
        <v>6055</v>
      </c>
      <c r="B6028">
        <v>379638</v>
      </c>
      <c r="C6028" s="2" t="str">
        <f>"30322"</f>
        <v>30322</v>
      </c>
      <c r="D6028" t="s">
        <v>6099</v>
      </c>
      <c r="E6028" t="s">
        <v>4</v>
      </c>
      <c r="F6028">
        <v>7.62</v>
      </c>
      <c r="G6028">
        <v>1.27</v>
      </c>
      <c r="H6028" t="s">
        <v>20</v>
      </c>
      <c r="I6028" s="1">
        <v>12.74</v>
      </c>
      <c r="J6028" s="1">
        <v>12.1</v>
      </c>
      <c r="K6028" t="s">
        <v>457</v>
      </c>
      <c r="L6028" s="1">
        <v>13.31</v>
      </c>
    </row>
    <row r="6029" spans="1:12">
      <c r="A6029" t="s">
        <v>6055</v>
      </c>
      <c r="B6029">
        <v>379640</v>
      </c>
      <c r="C6029" s="2" t="str">
        <f>"30342"</f>
        <v>30342</v>
      </c>
      <c r="D6029" t="s">
        <v>6100</v>
      </c>
      <c r="E6029" t="s">
        <v>4</v>
      </c>
      <c r="F6029">
        <v>9.3000000000000007</v>
      </c>
      <c r="G6029">
        <v>1.55</v>
      </c>
      <c r="H6029" t="s">
        <v>20</v>
      </c>
      <c r="I6029" s="1">
        <v>18.399999999999999</v>
      </c>
      <c r="J6029" s="1">
        <v>17.48</v>
      </c>
      <c r="K6029" t="s">
        <v>457</v>
      </c>
      <c r="L6029" s="1">
        <v>19.22</v>
      </c>
    </row>
    <row r="6030" spans="1:12">
      <c r="A6030" t="s">
        <v>6055</v>
      </c>
      <c r="B6030">
        <v>379641</v>
      </c>
      <c r="C6030" s="2" t="str">
        <f>"30362"</f>
        <v>30362</v>
      </c>
      <c r="D6030" t="s">
        <v>6101</v>
      </c>
      <c r="E6030" t="s">
        <v>4</v>
      </c>
      <c r="F6030">
        <v>10.8</v>
      </c>
      <c r="G6030">
        <v>1.8</v>
      </c>
      <c r="H6030" t="s">
        <v>20</v>
      </c>
      <c r="I6030" s="1">
        <v>26.39</v>
      </c>
      <c r="J6030" s="1">
        <v>25.07</v>
      </c>
      <c r="K6030" t="s">
        <v>457</v>
      </c>
      <c r="L6030" s="1">
        <v>27.58</v>
      </c>
    </row>
    <row r="6031" spans="1:12">
      <c r="A6031" t="s">
        <v>6055</v>
      </c>
      <c r="B6031">
        <v>379642</v>
      </c>
      <c r="C6031" s="2" t="str">
        <f>"30422"</f>
        <v>30422</v>
      </c>
      <c r="D6031" t="s">
        <v>6102</v>
      </c>
      <c r="E6031" t="s">
        <v>4</v>
      </c>
      <c r="F6031">
        <v>6</v>
      </c>
      <c r="G6031">
        <v>1</v>
      </c>
      <c r="H6031" t="s">
        <v>20</v>
      </c>
      <c r="I6031" s="1">
        <v>10.66</v>
      </c>
      <c r="J6031" s="1">
        <v>10.130000000000001</v>
      </c>
      <c r="K6031" t="s">
        <v>457</v>
      </c>
      <c r="L6031" s="1">
        <v>11.14</v>
      </c>
    </row>
    <row r="6032" spans="1:12">
      <c r="A6032" t="s">
        <v>6055</v>
      </c>
      <c r="B6032">
        <v>379643</v>
      </c>
      <c r="C6032" s="2" t="str">
        <f>"30442"</f>
        <v>30442</v>
      </c>
      <c r="D6032" t="s">
        <v>6103</v>
      </c>
      <c r="E6032" t="s">
        <v>4</v>
      </c>
      <c r="F6032">
        <v>6.9</v>
      </c>
      <c r="G6032">
        <v>1.1499999999999999</v>
      </c>
      <c r="H6032" t="s">
        <v>20</v>
      </c>
      <c r="I6032" s="1">
        <v>16.64</v>
      </c>
      <c r="J6032" s="1">
        <v>15.81</v>
      </c>
      <c r="K6032" t="s">
        <v>457</v>
      </c>
      <c r="L6032" s="1">
        <v>17.39</v>
      </c>
    </row>
    <row r="6033" spans="1:12">
      <c r="A6033" t="s">
        <v>6055</v>
      </c>
      <c r="B6033">
        <v>379644</v>
      </c>
      <c r="C6033" s="2" t="str">
        <f>"30462"</f>
        <v>30462</v>
      </c>
      <c r="D6033" t="s">
        <v>6104</v>
      </c>
      <c r="E6033" t="s">
        <v>4</v>
      </c>
      <c r="F6033">
        <v>8.82</v>
      </c>
      <c r="G6033">
        <v>1.47</v>
      </c>
      <c r="H6033" t="s">
        <v>20</v>
      </c>
      <c r="I6033" s="1">
        <v>23.66</v>
      </c>
      <c r="J6033" s="1">
        <v>22.48</v>
      </c>
      <c r="K6033" t="s">
        <v>457</v>
      </c>
      <c r="L6033" s="1">
        <v>24.72</v>
      </c>
    </row>
    <row r="6034" spans="1:12">
      <c r="A6034" t="s">
        <v>6055</v>
      </c>
      <c r="B6034">
        <v>379645</v>
      </c>
      <c r="C6034" s="2" t="str">
        <f>"30542"</f>
        <v>30542</v>
      </c>
      <c r="D6034" t="s">
        <v>6105</v>
      </c>
      <c r="E6034" t="s">
        <v>4</v>
      </c>
      <c r="F6034">
        <v>6.81</v>
      </c>
      <c r="G6034">
        <v>2.27</v>
      </c>
      <c r="H6034" t="s">
        <v>189</v>
      </c>
      <c r="I6034" s="1">
        <v>29.84</v>
      </c>
      <c r="J6034" s="1">
        <v>28.34</v>
      </c>
      <c r="K6034" t="s">
        <v>457</v>
      </c>
      <c r="L6034" s="1">
        <v>31.18</v>
      </c>
    </row>
    <row r="6035" spans="1:12">
      <c r="A6035" t="s">
        <v>6055</v>
      </c>
      <c r="B6035">
        <v>378479</v>
      </c>
      <c r="C6035" s="2" t="str">
        <f>"306"</f>
        <v>306</v>
      </c>
      <c r="D6035" t="s">
        <v>6106</v>
      </c>
      <c r="E6035" t="s">
        <v>4</v>
      </c>
      <c r="F6035">
        <v>0.22</v>
      </c>
      <c r="H6035" t="s">
        <v>5</v>
      </c>
      <c r="I6035" s="1">
        <v>33.799999999999997</v>
      </c>
      <c r="J6035" s="1">
        <v>32.11</v>
      </c>
      <c r="K6035" t="s">
        <v>6</v>
      </c>
    </row>
    <row r="6036" spans="1:12">
      <c r="A6036" t="s">
        <v>6055</v>
      </c>
      <c r="B6036">
        <v>379646</v>
      </c>
      <c r="C6036" s="2" t="str">
        <f>"30622"</f>
        <v>30622</v>
      </c>
      <c r="D6036" t="s">
        <v>6107</v>
      </c>
      <c r="E6036" t="s">
        <v>4</v>
      </c>
      <c r="F6036">
        <v>4.32</v>
      </c>
      <c r="G6036">
        <v>0.72</v>
      </c>
      <c r="H6036" t="s">
        <v>20</v>
      </c>
      <c r="I6036" s="1">
        <v>9.23</v>
      </c>
      <c r="J6036" s="1">
        <v>8.77</v>
      </c>
      <c r="K6036" t="s">
        <v>457</v>
      </c>
      <c r="L6036" s="1">
        <v>9.65</v>
      </c>
    </row>
    <row r="6037" spans="1:12">
      <c r="A6037" t="s">
        <v>6055</v>
      </c>
      <c r="B6037">
        <v>379647</v>
      </c>
      <c r="C6037" s="2" t="str">
        <f>"30642"</f>
        <v>30642</v>
      </c>
      <c r="D6037" t="s">
        <v>6108</v>
      </c>
      <c r="E6037" t="s">
        <v>4</v>
      </c>
      <c r="F6037">
        <v>4.9800000000000004</v>
      </c>
      <c r="G6037">
        <v>0.83</v>
      </c>
      <c r="H6037" t="s">
        <v>20</v>
      </c>
      <c r="I6037" s="1">
        <v>11.31</v>
      </c>
      <c r="J6037" s="1">
        <v>10.74</v>
      </c>
      <c r="K6037" t="s">
        <v>457</v>
      </c>
      <c r="L6037" s="1">
        <v>11.82</v>
      </c>
    </row>
    <row r="6038" spans="1:12">
      <c r="A6038" t="s">
        <v>6055</v>
      </c>
      <c r="B6038">
        <v>379648</v>
      </c>
      <c r="C6038" s="2" t="str">
        <f>"30662"</f>
        <v>30662</v>
      </c>
      <c r="D6038" t="s">
        <v>6109</v>
      </c>
      <c r="E6038" t="s">
        <v>4</v>
      </c>
      <c r="F6038">
        <v>6.42</v>
      </c>
      <c r="G6038">
        <v>1.07</v>
      </c>
      <c r="H6038" t="s">
        <v>20</v>
      </c>
      <c r="I6038" s="1">
        <v>15.86</v>
      </c>
      <c r="J6038" s="1">
        <v>15.07</v>
      </c>
      <c r="K6038" t="s">
        <v>457</v>
      </c>
      <c r="L6038" s="1">
        <v>16.57</v>
      </c>
    </row>
    <row r="6039" spans="1:12">
      <c r="A6039" t="s">
        <v>6055</v>
      </c>
      <c r="B6039">
        <v>412975</v>
      </c>
      <c r="C6039" s="2" t="str">
        <f>"308"</f>
        <v>308</v>
      </c>
      <c r="D6039" t="s">
        <v>6110</v>
      </c>
      <c r="E6039" t="s">
        <v>4</v>
      </c>
      <c r="F6039">
        <v>0.24</v>
      </c>
      <c r="H6039" t="s">
        <v>5</v>
      </c>
      <c r="I6039" s="1">
        <v>33.799999999999997</v>
      </c>
      <c r="J6039" s="1">
        <v>32.11</v>
      </c>
      <c r="K6039" t="s">
        <v>6</v>
      </c>
    </row>
    <row r="6040" spans="1:12">
      <c r="A6040" t="s">
        <v>6055</v>
      </c>
      <c r="B6040">
        <v>379649</v>
      </c>
      <c r="C6040" s="2" t="str">
        <f>"30942"</f>
        <v>30942</v>
      </c>
      <c r="D6040" t="s">
        <v>6111</v>
      </c>
      <c r="E6040" t="s">
        <v>4</v>
      </c>
      <c r="F6040">
        <v>3.78</v>
      </c>
      <c r="G6040">
        <v>0.63</v>
      </c>
      <c r="H6040" t="s">
        <v>20</v>
      </c>
      <c r="I6040" s="1">
        <v>13.72</v>
      </c>
      <c r="J6040" s="1">
        <v>13.03</v>
      </c>
      <c r="K6040" t="s">
        <v>457</v>
      </c>
      <c r="L6040" s="1">
        <v>14.33</v>
      </c>
    </row>
    <row r="6041" spans="1:12">
      <c r="A6041" t="s">
        <v>6055</v>
      </c>
      <c r="B6041">
        <v>460065</v>
      </c>
      <c r="C6041" s="2" t="str">
        <f>"3503"</f>
        <v>3503</v>
      </c>
      <c r="D6041" t="s">
        <v>6112</v>
      </c>
      <c r="E6041" t="s">
        <v>4</v>
      </c>
      <c r="F6041">
        <v>15</v>
      </c>
      <c r="G6041">
        <v>7.5</v>
      </c>
      <c r="H6041" t="s">
        <v>175</v>
      </c>
      <c r="I6041" s="1">
        <v>53.17</v>
      </c>
      <c r="J6041" s="1">
        <v>50.51</v>
      </c>
      <c r="K6041" t="s">
        <v>457</v>
      </c>
      <c r="L6041" s="1">
        <v>55.56</v>
      </c>
    </row>
    <row r="6042" spans="1:12">
      <c r="A6042" t="s">
        <v>6055</v>
      </c>
      <c r="B6042">
        <v>460066</v>
      </c>
      <c r="C6042" s="2" t="str">
        <f>"3504"</f>
        <v>3504</v>
      </c>
      <c r="D6042" t="s">
        <v>6113</v>
      </c>
      <c r="E6042" t="s">
        <v>4</v>
      </c>
      <c r="F6042">
        <v>18.3</v>
      </c>
      <c r="G6042">
        <v>9.15</v>
      </c>
      <c r="H6042" t="s">
        <v>175</v>
      </c>
      <c r="I6042" s="1">
        <v>71.11</v>
      </c>
      <c r="J6042" s="1">
        <v>67.55</v>
      </c>
      <c r="K6042" t="s">
        <v>457</v>
      </c>
      <c r="L6042" s="1">
        <v>74.31</v>
      </c>
    </row>
    <row r="6043" spans="1:12">
      <c r="A6043" t="s">
        <v>6055</v>
      </c>
      <c r="B6043">
        <v>460067</v>
      </c>
      <c r="C6043" s="2" t="str">
        <f>"3506"</f>
        <v>3506</v>
      </c>
      <c r="D6043" t="s">
        <v>6114</v>
      </c>
      <c r="E6043" t="s">
        <v>4</v>
      </c>
      <c r="F6043">
        <v>15.6</v>
      </c>
      <c r="H6043" t="s">
        <v>5</v>
      </c>
      <c r="I6043" s="1">
        <v>115.05</v>
      </c>
      <c r="J6043" s="1">
        <v>109.3</v>
      </c>
      <c r="K6043" t="s">
        <v>6</v>
      </c>
    </row>
    <row r="6044" spans="1:12">
      <c r="A6044" t="s">
        <v>6055</v>
      </c>
      <c r="B6044">
        <v>460068</v>
      </c>
      <c r="C6044" s="2" t="str">
        <f>"3509"</f>
        <v>3509</v>
      </c>
      <c r="D6044" t="s">
        <v>6115</v>
      </c>
      <c r="E6044" t="s">
        <v>4</v>
      </c>
      <c r="F6044">
        <v>18.5</v>
      </c>
      <c r="H6044" t="s">
        <v>5</v>
      </c>
      <c r="I6044" s="1">
        <v>148.85</v>
      </c>
      <c r="J6044" s="1">
        <v>141.41</v>
      </c>
      <c r="K6044" t="s">
        <v>6</v>
      </c>
    </row>
    <row r="6045" spans="1:12">
      <c r="A6045" t="s">
        <v>6055</v>
      </c>
      <c r="B6045">
        <v>380875</v>
      </c>
      <c r="C6045" s="2" t="str">
        <f>"3670"</f>
        <v>3670</v>
      </c>
      <c r="D6045" t="s">
        <v>6116</v>
      </c>
      <c r="E6045" t="s">
        <v>4</v>
      </c>
      <c r="F6045">
        <v>4.9800000000000004</v>
      </c>
      <c r="G6045">
        <v>0.83</v>
      </c>
      <c r="H6045" t="s">
        <v>20</v>
      </c>
      <c r="I6045" s="1">
        <v>22.36</v>
      </c>
      <c r="J6045" s="1">
        <v>21.24</v>
      </c>
      <c r="K6045" t="s">
        <v>457</v>
      </c>
      <c r="L6045" s="1">
        <v>23.37</v>
      </c>
    </row>
    <row r="6046" spans="1:12">
      <c r="A6046" t="s">
        <v>6055</v>
      </c>
      <c r="B6046">
        <v>380878</v>
      </c>
      <c r="C6046" s="2" t="str">
        <f>"3672"</f>
        <v>3672</v>
      </c>
      <c r="D6046" t="s">
        <v>6117</v>
      </c>
      <c r="E6046" t="s">
        <v>4</v>
      </c>
      <c r="F6046">
        <v>6</v>
      </c>
      <c r="G6046">
        <v>1</v>
      </c>
      <c r="H6046" t="s">
        <v>20</v>
      </c>
      <c r="I6046" s="1">
        <v>23.4</v>
      </c>
      <c r="J6046" s="1">
        <v>22.23</v>
      </c>
      <c r="K6046" t="s">
        <v>457</v>
      </c>
      <c r="L6046" s="1">
        <v>24.45</v>
      </c>
    </row>
    <row r="6047" spans="1:12">
      <c r="A6047" t="s">
        <v>6055</v>
      </c>
      <c r="B6047">
        <v>380880</v>
      </c>
      <c r="C6047" s="2" t="str">
        <f>"3681"</f>
        <v>3681</v>
      </c>
      <c r="D6047" t="s">
        <v>6118</v>
      </c>
      <c r="E6047" t="s">
        <v>4</v>
      </c>
      <c r="F6047">
        <v>3</v>
      </c>
      <c r="H6047" t="s">
        <v>5</v>
      </c>
      <c r="I6047" s="1">
        <v>73.97</v>
      </c>
      <c r="J6047" s="1">
        <v>70.27</v>
      </c>
      <c r="K6047" t="s">
        <v>6</v>
      </c>
    </row>
    <row r="6048" spans="1:12">
      <c r="A6048" t="s">
        <v>6055</v>
      </c>
      <c r="B6048">
        <v>420374</v>
      </c>
      <c r="C6048" s="2" t="str">
        <f>"379007"</f>
        <v>379007</v>
      </c>
      <c r="D6048" t="s">
        <v>6119</v>
      </c>
      <c r="E6048" t="s">
        <v>4</v>
      </c>
      <c r="F6048">
        <v>1</v>
      </c>
      <c r="H6048" t="s">
        <v>5</v>
      </c>
      <c r="I6048" s="1">
        <v>26.12</v>
      </c>
      <c r="J6048" s="1">
        <v>26.12</v>
      </c>
      <c r="K6048" t="s">
        <v>6</v>
      </c>
    </row>
    <row r="6049" spans="1:12">
      <c r="A6049" t="s">
        <v>6055</v>
      </c>
      <c r="B6049">
        <v>396959</v>
      </c>
      <c r="C6049" s="2" t="str">
        <f>"379008"</f>
        <v>379008</v>
      </c>
      <c r="D6049" t="s">
        <v>6120</v>
      </c>
      <c r="E6049" t="s">
        <v>4</v>
      </c>
      <c r="F6049">
        <v>1</v>
      </c>
      <c r="H6049" t="s">
        <v>5</v>
      </c>
      <c r="I6049" s="1">
        <v>23.78</v>
      </c>
      <c r="J6049" s="1">
        <v>23.78</v>
      </c>
      <c r="K6049" t="s">
        <v>6</v>
      </c>
    </row>
    <row r="6050" spans="1:12">
      <c r="A6050" t="s">
        <v>6055</v>
      </c>
      <c r="B6050">
        <v>432964</v>
      </c>
      <c r="C6050" s="2" t="str">
        <f>"379009"</f>
        <v>379009</v>
      </c>
      <c r="D6050" t="s">
        <v>6121</v>
      </c>
      <c r="E6050" t="s">
        <v>4</v>
      </c>
      <c r="F6050">
        <v>0.1</v>
      </c>
      <c r="H6050" t="s">
        <v>5</v>
      </c>
      <c r="I6050" s="1">
        <v>4.29</v>
      </c>
      <c r="J6050" s="1">
        <v>4.29</v>
      </c>
      <c r="K6050" t="s">
        <v>6</v>
      </c>
    </row>
    <row r="6051" spans="1:12">
      <c r="A6051" t="s">
        <v>6055</v>
      </c>
      <c r="B6051">
        <v>460051</v>
      </c>
      <c r="C6051" s="2" t="str">
        <f>"3803"</f>
        <v>3803</v>
      </c>
      <c r="D6051" t="s">
        <v>6122</v>
      </c>
      <c r="E6051" t="s">
        <v>4</v>
      </c>
      <c r="F6051">
        <v>26.4</v>
      </c>
      <c r="G6051">
        <v>4.4000000000000004</v>
      </c>
      <c r="H6051" t="s">
        <v>20</v>
      </c>
      <c r="I6051" s="1">
        <v>33.020000000000003</v>
      </c>
      <c r="J6051" s="1">
        <v>31.37</v>
      </c>
      <c r="K6051" t="s">
        <v>457</v>
      </c>
      <c r="L6051" s="1">
        <v>34.51</v>
      </c>
    </row>
    <row r="6052" spans="1:12">
      <c r="A6052" t="s">
        <v>6055</v>
      </c>
      <c r="B6052">
        <v>380837</v>
      </c>
      <c r="C6052" s="2" t="str">
        <f>"3815-12"</f>
        <v>3815-12</v>
      </c>
      <c r="D6052" t="s">
        <v>6123</v>
      </c>
      <c r="E6052" t="s">
        <v>4</v>
      </c>
      <c r="F6052">
        <v>2.2000000000000002</v>
      </c>
      <c r="H6052" t="s">
        <v>5</v>
      </c>
      <c r="I6052" s="1">
        <v>59.8</v>
      </c>
      <c r="J6052" s="1">
        <v>56.81</v>
      </c>
      <c r="K6052" t="s">
        <v>6</v>
      </c>
    </row>
    <row r="6053" spans="1:12">
      <c r="A6053" t="s">
        <v>6055</v>
      </c>
      <c r="B6053">
        <v>380822</v>
      </c>
      <c r="C6053" s="2" t="str">
        <f>"3825-12"</f>
        <v>3825-12</v>
      </c>
      <c r="D6053" t="s">
        <v>6124</v>
      </c>
      <c r="E6053" t="s">
        <v>4</v>
      </c>
      <c r="F6053">
        <v>2.48</v>
      </c>
      <c r="H6053" t="s">
        <v>5</v>
      </c>
      <c r="I6053" s="1">
        <v>70.849999999999994</v>
      </c>
      <c r="J6053" s="1">
        <v>67.31</v>
      </c>
      <c r="K6053" t="s">
        <v>6</v>
      </c>
    </row>
    <row r="6054" spans="1:12">
      <c r="A6054" t="s">
        <v>6055</v>
      </c>
      <c r="B6054">
        <v>379491</v>
      </c>
      <c r="C6054" s="2" t="str">
        <f>"4007"</f>
        <v>4007</v>
      </c>
      <c r="D6054" t="s">
        <v>6125</v>
      </c>
      <c r="E6054" t="s">
        <v>4</v>
      </c>
      <c r="F6054">
        <v>6.18</v>
      </c>
      <c r="G6054">
        <v>1.03</v>
      </c>
      <c r="H6054" t="s">
        <v>20</v>
      </c>
      <c r="I6054" s="1">
        <v>14.17</v>
      </c>
      <c r="J6054" s="1">
        <v>13.46</v>
      </c>
      <c r="K6054" t="s">
        <v>457</v>
      </c>
      <c r="L6054" s="1">
        <v>14.81</v>
      </c>
    </row>
    <row r="6055" spans="1:12">
      <c r="A6055" t="s">
        <v>6055</v>
      </c>
      <c r="B6055">
        <v>379494</v>
      </c>
      <c r="C6055" s="2" t="str">
        <f>"4008"</f>
        <v>4008</v>
      </c>
      <c r="D6055" t="s">
        <v>6126</v>
      </c>
      <c r="E6055" t="s">
        <v>4</v>
      </c>
      <c r="F6055">
        <v>8.58</v>
      </c>
      <c r="G6055">
        <v>1.43</v>
      </c>
      <c r="H6055" t="s">
        <v>20</v>
      </c>
      <c r="I6055" s="1">
        <v>17.100000000000001</v>
      </c>
      <c r="J6055" s="1">
        <v>16.239999999999998</v>
      </c>
      <c r="K6055" t="s">
        <v>457</v>
      </c>
      <c r="L6055" s="1">
        <v>17.86</v>
      </c>
    </row>
    <row r="6056" spans="1:12">
      <c r="A6056" t="s">
        <v>6055</v>
      </c>
      <c r="B6056">
        <v>535537</v>
      </c>
      <c r="C6056" s="2" t="str">
        <f>"4010"</f>
        <v>4010</v>
      </c>
      <c r="D6056" t="s">
        <v>6127</v>
      </c>
      <c r="E6056" t="s">
        <v>4</v>
      </c>
      <c r="F6056">
        <v>32.4</v>
      </c>
      <c r="G6056">
        <v>5.4</v>
      </c>
      <c r="H6056" t="s">
        <v>20</v>
      </c>
      <c r="I6056" s="1">
        <v>24.83</v>
      </c>
      <c r="J6056" s="1">
        <v>23.59</v>
      </c>
      <c r="K6056" t="s">
        <v>21</v>
      </c>
      <c r="L6056" s="1">
        <v>25.95</v>
      </c>
    </row>
    <row r="6057" spans="1:12">
      <c r="A6057" t="s">
        <v>6055</v>
      </c>
      <c r="B6057">
        <v>535538</v>
      </c>
      <c r="C6057" s="2" t="str">
        <f>"4012"</f>
        <v>4012</v>
      </c>
      <c r="D6057" t="s">
        <v>6128</v>
      </c>
      <c r="E6057" t="s">
        <v>4</v>
      </c>
      <c r="F6057">
        <v>8.1</v>
      </c>
      <c r="G6057">
        <v>4.05</v>
      </c>
      <c r="H6057" t="s">
        <v>175</v>
      </c>
      <c r="I6057" s="1">
        <v>40.17</v>
      </c>
      <c r="J6057" s="1">
        <v>38.159999999999997</v>
      </c>
      <c r="K6057" t="s">
        <v>21</v>
      </c>
      <c r="L6057" s="1">
        <v>41.98</v>
      </c>
    </row>
    <row r="6058" spans="1:12">
      <c r="A6058" t="s">
        <v>6055</v>
      </c>
      <c r="B6058">
        <v>535539</v>
      </c>
      <c r="C6058" s="2" t="str">
        <f>"4014"</f>
        <v>4014</v>
      </c>
      <c r="D6058" t="s">
        <v>6129</v>
      </c>
      <c r="E6058" t="s">
        <v>4</v>
      </c>
      <c r="F6058">
        <v>11</v>
      </c>
      <c r="G6058">
        <v>5.5</v>
      </c>
      <c r="H6058" t="s">
        <v>175</v>
      </c>
      <c r="I6058" s="1">
        <v>50.57</v>
      </c>
      <c r="J6058" s="1">
        <v>48.04</v>
      </c>
      <c r="K6058" t="s">
        <v>21</v>
      </c>
      <c r="L6058" s="1">
        <v>52.85</v>
      </c>
    </row>
    <row r="6059" spans="1:12">
      <c r="A6059" t="s">
        <v>6055</v>
      </c>
      <c r="B6059">
        <v>525104</v>
      </c>
      <c r="C6059" s="2" t="str">
        <f>"40803"</f>
        <v>40803</v>
      </c>
      <c r="D6059" t="s">
        <v>6130</v>
      </c>
      <c r="E6059" t="s">
        <v>4</v>
      </c>
      <c r="F6059">
        <v>43.12</v>
      </c>
      <c r="H6059" t="s">
        <v>5</v>
      </c>
      <c r="I6059" s="1">
        <v>930.8</v>
      </c>
      <c r="J6059" s="1">
        <v>884.26</v>
      </c>
      <c r="K6059" t="s">
        <v>6</v>
      </c>
    </row>
    <row r="6060" spans="1:12">
      <c r="A6060" t="s">
        <v>6055</v>
      </c>
      <c r="B6060">
        <v>530831</v>
      </c>
      <c r="C6060" s="2" t="str">
        <f>"40804"</f>
        <v>40804</v>
      </c>
      <c r="D6060" t="s">
        <v>6131</v>
      </c>
      <c r="E6060" t="s">
        <v>4</v>
      </c>
      <c r="F6060">
        <v>48.72</v>
      </c>
      <c r="H6060" t="s">
        <v>5</v>
      </c>
      <c r="I6060" s="1">
        <v>1271.4000000000001</v>
      </c>
      <c r="J6060" s="1">
        <v>1207.83</v>
      </c>
      <c r="K6060" t="s">
        <v>6</v>
      </c>
    </row>
    <row r="6061" spans="1:12">
      <c r="A6061" t="s">
        <v>6055</v>
      </c>
      <c r="B6061">
        <v>534897</v>
      </c>
      <c r="C6061" s="2" t="str">
        <f>"40813"</f>
        <v>40813</v>
      </c>
      <c r="D6061" t="s">
        <v>6132</v>
      </c>
      <c r="E6061" t="s">
        <v>4</v>
      </c>
      <c r="F6061">
        <v>2.44</v>
      </c>
      <c r="H6061" t="s">
        <v>5</v>
      </c>
      <c r="I6061" s="1">
        <v>39.65</v>
      </c>
      <c r="J6061" s="1">
        <v>37.67</v>
      </c>
      <c r="K6061" t="s">
        <v>6</v>
      </c>
    </row>
    <row r="6062" spans="1:12">
      <c r="A6062" t="s">
        <v>6055</v>
      </c>
      <c r="B6062">
        <v>534899</v>
      </c>
      <c r="C6062" s="2" t="str">
        <f>"40815"</f>
        <v>40815</v>
      </c>
      <c r="D6062" t="s">
        <v>6133</v>
      </c>
      <c r="E6062" t="s">
        <v>4</v>
      </c>
      <c r="F6062">
        <v>2.6</v>
      </c>
      <c r="H6062" t="s">
        <v>5</v>
      </c>
      <c r="I6062" s="1">
        <v>29.25</v>
      </c>
      <c r="J6062" s="1">
        <v>27.79</v>
      </c>
      <c r="K6062" t="s">
        <v>6</v>
      </c>
    </row>
    <row r="6063" spans="1:12">
      <c r="A6063" t="s">
        <v>6055</v>
      </c>
      <c r="B6063">
        <v>530833</v>
      </c>
      <c r="C6063" s="2" t="str">
        <f>"40819"</f>
        <v>40819</v>
      </c>
      <c r="D6063" t="s">
        <v>6134</v>
      </c>
      <c r="E6063" t="s">
        <v>4</v>
      </c>
      <c r="F6063">
        <v>41</v>
      </c>
      <c r="H6063" t="s">
        <v>5</v>
      </c>
      <c r="I6063" s="1">
        <v>482.3</v>
      </c>
      <c r="J6063" s="1">
        <v>458.19</v>
      </c>
      <c r="K6063" t="s">
        <v>6</v>
      </c>
    </row>
    <row r="6064" spans="1:12">
      <c r="A6064" t="s">
        <v>6055</v>
      </c>
      <c r="B6064">
        <v>537552</v>
      </c>
      <c r="C6064" s="2" t="str">
        <f>"40830"</f>
        <v>40830</v>
      </c>
      <c r="D6064" t="s">
        <v>6135</v>
      </c>
      <c r="E6064" t="s">
        <v>4</v>
      </c>
      <c r="F6064">
        <v>46.1</v>
      </c>
      <c r="H6064" t="s">
        <v>5</v>
      </c>
      <c r="I6064" s="1">
        <v>348.4</v>
      </c>
      <c r="J6064" s="1">
        <v>330.98</v>
      </c>
      <c r="K6064" t="s">
        <v>6</v>
      </c>
    </row>
    <row r="6065" spans="1:12">
      <c r="A6065" t="s">
        <v>6055</v>
      </c>
      <c r="B6065">
        <v>534895</v>
      </c>
      <c r="C6065" s="2" t="str">
        <f>"40858"</f>
        <v>40858</v>
      </c>
      <c r="D6065" t="s">
        <v>6136</v>
      </c>
      <c r="E6065" t="s">
        <v>4</v>
      </c>
      <c r="F6065">
        <v>16.34</v>
      </c>
      <c r="H6065" t="s">
        <v>5</v>
      </c>
      <c r="I6065" s="1">
        <v>837.2</v>
      </c>
      <c r="J6065" s="1">
        <v>795.34</v>
      </c>
      <c r="K6065" t="s">
        <v>6</v>
      </c>
    </row>
    <row r="6066" spans="1:12">
      <c r="A6066" t="s">
        <v>6055</v>
      </c>
      <c r="B6066">
        <v>398317</v>
      </c>
      <c r="C6066" s="2" t="str">
        <f>"4108"</f>
        <v>4108</v>
      </c>
      <c r="D6066" t="s">
        <v>6137</v>
      </c>
      <c r="E6066" t="s">
        <v>4</v>
      </c>
      <c r="F6066">
        <v>7.9</v>
      </c>
      <c r="G6066">
        <v>3.95</v>
      </c>
      <c r="H6066" t="s">
        <v>175</v>
      </c>
      <c r="I6066" s="1">
        <v>53.24</v>
      </c>
      <c r="J6066" s="1">
        <v>50.57</v>
      </c>
      <c r="K6066" t="s">
        <v>457</v>
      </c>
      <c r="L6066" s="1">
        <v>55.63</v>
      </c>
    </row>
    <row r="6067" spans="1:12">
      <c r="A6067" t="s">
        <v>6055</v>
      </c>
      <c r="B6067">
        <v>380903</v>
      </c>
      <c r="C6067" s="2" t="str">
        <f>"4135"</f>
        <v>4135</v>
      </c>
      <c r="D6067" t="s">
        <v>6138</v>
      </c>
      <c r="E6067" t="s">
        <v>4</v>
      </c>
      <c r="F6067">
        <v>1</v>
      </c>
      <c r="H6067" t="s">
        <v>5</v>
      </c>
      <c r="I6067" s="1">
        <v>49.14</v>
      </c>
      <c r="J6067" s="1">
        <v>46.68</v>
      </c>
      <c r="K6067" t="s">
        <v>6</v>
      </c>
    </row>
    <row r="6068" spans="1:12">
      <c r="A6068" t="s">
        <v>6055</v>
      </c>
      <c r="B6068">
        <v>379540</v>
      </c>
      <c r="C6068" s="2" t="str">
        <f>"4303"</f>
        <v>4303</v>
      </c>
      <c r="D6068" t="s">
        <v>6139</v>
      </c>
      <c r="E6068" t="s">
        <v>4</v>
      </c>
      <c r="F6068">
        <v>9.5</v>
      </c>
      <c r="G6068">
        <v>4.75</v>
      </c>
      <c r="H6068" t="s">
        <v>175</v>
      </c>
      <c r="I6068" s="1">
        <v>46.22</v>
      </c>
      <c r="J6068" s="1">
        <v>43.9</v>
      </c>
      <c r="K6068" t="s">
        <v>457</v>
      </c>
      <c r="L6068" s="1">
        <v>48.29</v>
      </c>
    </row>
    <row r="6069" spans="1:12">
      <c r="A6069" t="s">
        <v>6055</v>
      </c>
      <c r="B6069">
        <v>379541</v>
      </c>
      <c r="C6069" s="2" t="str">
        <f>"4305"</f>
        <v>4305</v>
      </c>
      <c r="D6069" t="s">
        <v>6140</v>
      </c>
      <c r="E6069" t="s">
        <v>4</v>
      </c>
      <c r="F6069">
        <v>13.4</v>
      </c>
      <c r="G6069">
        <v>6.7</v>
      </c>
      <c r="H6069" t="s">
        <v>175</v>
      </c>
      <c r="I6069" s="1">
        <v>59.93</v>
      </c>
      <c r="J6069" s="1">
        <v>56.93</v>
      </c>
      <c r="K6069" t="s">
        <v>457</v>
      </c>
      <c r="L6069" s="1">
        <v>62.63</v>
      </c>
    </row>
    <row r="6070" spans="1:12">
      <c r="A6070" t="s">
        <v>6055</v>
      </c>
      <c r="B6070">
        <v>368855</v>
      </c>
      <c r="C6070" s="2" t="str">
        <f>"4306"</f>
        <v>4306</v>
      </c>
      <c r="D6070" t="s">
        <v>6141</v>
      </c>
      <c r="E6070" t="s">
        <v>4</v>
      </c>
      <c r="F6070">
        <v>7.7</v>
      </c>
      <c r="H6070" t="s">
        <v>5</v>
      </c>
      <c r="I6070" s="1">
        <v>74.95</v>
      </c>
      <c r="J6070" s="1">
        <v>71.2</v>
      </c>
      <c r="K6070" t="s">
        <v>6</v>
      </c>
    </row>
    <row r="6071" spans="1:12">
      <c r="A6071" t="s">
        <v>6055</v>
      </c>
      <c r="B6071">
        <v>370895</v>
      </c>
      <c r="C6071" s="2" t="str">
        <f>"430712"</f>
        <v>430712</v>
      </c>
      <c r="D6071" t="s">
        <v>6142</v>
      </c>
      <c r="E6071" t="s">
        <v>4</v>
      </c>
      <c r="F6071">
        <v>8.8000000000000007</v>
      </c>
      <c r="H6071" t="s">
        <v>5</v>
      </c>
      <c r="I6071" s="1">
        <v>85.28</v>
      </c>
      <c r="J6071" s="1">
        <v>81.02</v>
      </c>
      <c r="K6071" t="s">
        <v>6</v>
      </c>
    </row>
    <row r="6072" spans="1:12">
      <c r="A6072" t="s">
        <v>6055</v>
      </c>
      <c r="B6072">
        <v>368872</v>
      </c>
      <c r="C6072" s="2" t="str">
        <f>"4310"</f>
        <v>4310</v>
      </c>
      <c r="D6072" t="s">
        <v>6143</v>
      </c>
      <c r="E6072" t="s">
        <v>4</v>
      </c>
      <c r="F6072">
        <v>11</v>
      </c>
      <c r="H6072" t="s">
        <v>5</v>
      </c>
      <c r="I6072" s="1">
        <v>92.37</v>
      </c>
      <c r="J6072" s="1">
        <v>87.75</v>
      </c>
      <c r="K6072" t="s">
        <v>6</v>
      </c>
    </row>
    <row r="6073" spans="1:12">
      <c r="A6073" t="s">
        <v>6055</v>
      </c>
      <c r="B6073">
        <v>370620</v>
      </c>
      <c r="C6073" s="2" t="str">
        <f>"4315"</f>
        <v>4315</v>
      </c>
      <c r="D6073" t="s">
        <v>6144</v>
      </c>
      <c r="E6073" t="s">
        <v>4</v>
      </c>
      <c r="F6073">
        <v>13.7</v>
      </c>
      <c r="H6073" t="s">
        <v>5</v>
      </c>
      <c r="I6073" s="1">
        <v>142.55000000000001</v>
      </c>
      <c r="J6073" s="1">
        <v>135.41999999999999</v>
      </c>
      <c r="K6073" t="s">
        <v>6</v>
      </c>
    </row>
    <row r="6074" spans="1:12">
      <c r="A6074" t="s">
        <v>6055</v>
      </c>
      <c r="B6074">
        <v>379553</v>
      </c>
      <c r="C6074" s="2" t="str">
        <f>"4332"</f>
        <v>4332</v>
      </c>
      <c r="D6074" t="s">
        <v>6145</v>
      </c>
      <c r="E6074" t="s">
        <v>4</v>
      </c>
      <c r="F6074">
        <v>10.6</v>
      </c>
      <c r="G6074">
        <v>5.3</v>
      </c>
      <c r="H6074" t="s">
        <v>175</v>
      </c>
      <c r="I6074" s="1">
        <v>70.98</v>
      </c>
      <c r="J6074" s="1">
        <v>67.430000000000007</v>
      </c>
      <c r="K6074" t="s">
        <v>457</v>
      </c>
      <c r="L6074" s="1">
        <v>74.17</v>
      </c>
    </row>
    <row r="6075" spans="1:12">
      <c r="A6075" t="s">
        <v>6055</v>
      </c>
      <c r="B6075">
        <v>379554</v>
      </c>
      <c r="C6075" s="2" t="str">
        <f>"4333"</f>
        <v>4333</v>
      </c>
      <c r="D6075" t="s">
        <v>6146</v>
      </c>
      <c r="E6075" t="s">
        <v>4</v>
      </c>
      <c r="F6075">
        <v>12.8</v>
      </c>
      <c r="G6075">
        <v>6.4</v>
      </c>
      <c r="H6075" t="s">
        <v>175</v>
      </c>
      <c r="I6075" s="1">
        <v>85.48</v>
      </c>
      <c r="J6075" s="1">
        <v>81.2</v>
      </c>
      <c r="K6075" t="s">
        <v>457</v>
      </c>
      <c r="L6075" s="1">
        <v>89.32</v>
      </c>
    </row>
    <row r="6076" spans="1:12">
      <c r="A6076" t="s">
        <v>6055</v>
      </c>
      <c r="B6076">
        <v>379506</v>
      </c>
      <c r="C6076" s="2" t="str">
        <f>"434112"</f>
        <v>434112</v>
      </c>
      <c r="D6076" t="s">
        <v>6147</v>
      </c>
      <c r="E6076" t="s">
        <v>4</v>
      </c>
      <c r="F6076">
        <v>7.38</v>
      </c>
      <c r="G6076">
        <v>1.23</v>
      </c>
      <c r="H6076" t="s">
        <v>20</v>
      </c>
      <c r="I6076" s="1">
        <v>17.68</v>
      </c>
      <c r="J6076" s="1">
        <v>16.8</v>
      </c>
      <c r="K6076" t="s">
        <v>457</v>
      </c>
      <c r="L6076" s="1">
        <v>18.48</v>
      </c>
    </row>
    <row r="6077" spans="1:12">
      <c r="A6077" t="s">
        <v>6055</v>
      </c>
      <c r="B6077">
        <v>379508</v>
      </c>
      <c r="C6077" s="2" t="str">
        <f>"434212"</f>
        <v>434212</v>
      </c>
      <c r="D6077" t="s">
        <v>6148</v>
      </c>
      <c r="E6077" t="s">
        <v>4</v>
      </c>
      <c r="F6077">
        <v>11.4</v>
      </c>
      <c r="G6077">
        <v>1.9</v>
      </c>
      <c r="H6077" t="s">
        <v>20</v>
      </c>
      <c r="I6077" s="1">
        <v>23.08</v>
      </c>
      <c r="J6077" s="1">
        <v>21.92</v>
      </c>
      <c r="K6077" t="s">
        <v>457</v>
      </c>
      <c r="L6077" s="1">
        <v>24.11</v>
      </c>
    </row>
    <row r="6078" spans="1:12">
      <c r="A6078" t="s">
        <v>6055</v>
      </c>
      <c r="B6078">
        <v>379510</v>
      </c>
      <c r="C6078" s="2" t="str">
        <f>"434312"</f>
        <v>434312</v>
      </c>
      <c r="D6078" t="s">
        <v>6149</v>
      </c>
      <c r="E6078" t="s">
        <v>4</v>
      </c>
      <c r="F6078">
        <v>14.1</v>
      </c>
      <c r="G6078">
        <v>2.35</v>
      </c>
      <c r="H6078" t="s">
        <v>20</v>
      </c>
      <c r="I6078" s="1">
        <v>25.35</v>
      </c>
      <c r="J6078" s="1">
        <v>24.08</v>
      </c>
      <c r="K6078" t="s">
        <v>457</v>
      </c>
      <c r="L6078" s="1">
        <v>26.49</v>
      </c>
    </row>
    <row r="6079" spans="1:12">
      <c r="A6079" t="s">
        <v>6055</v>
      </c>
      <c r="B6079">
        <v>379521</v>
      </c>
      <c r="C6079" s="2" t="str">
        <f>"4343C"</f>
        <v>4343C</v>
      </c>
      <c r="D6079" t="s">
        <v>6150</v>
      </c>
      <c r="E6079" t="s">
        <v>4</v>
      </c>
      <c r="F6079">
        <v>3.48</v>
      </c>
      <c r="G6079">
        <v>0.57999999999999996</v>
      </c>
      <c r="H6079" t="s">
        <v>20</v>
      </c>
      <c r="I6079" s="1">
        <v>10.53</v>
      </c>
      <c r="J6079" s="1">
        <v>10</v>
      </c>
      <c r="K6079" t="s">
        <v>457</v>
      </c>
      <c r="L6079" s="1">
        <v>11</v>
      </c>
    </row>
    <row r="6080" spans="1:12">
      <c r="A6080" t="s">
        <v>6055</v>
      </c>
      <c r="B6080">
        <v>379511</v>
      </c>
      <c r="C6080" s="2" t="str">
        <f>"434412"</f>
        <v>434412</v>
      </c>
      <c r="D6080" t="s">
        <v>6151</v>
      </c>
      <c r="E6080" t="s">
        <v>4</v>
      </c>
      <c r="F6080">
        <v>15.18</v>
      </c>
      <c r="G6080">
        <v>2.5299999999999998</v>
      </c>
      <c r="H6080" t="s">
        <v>20</v>
      </c>
      <c r="I6080" s="1">
        <v>28.08</v>
      </c>
      <c r="J6080" s="1">
        <v>26.68</v>
      </c>
      <c r="K6080" t="s">
        <v>457</v>
      </c>
      <c r="L6080" s="1">
        <v>29.34</v>
      </c>
    </row>
    <row r="6081" spans="1:12">
      <c r="A6081" t="s">
        <v>6055</v>
      </c>
      <c r="B6081">
        <v>379513</v>
      </c>
      <c r="C6081" s="2" t="str">
        <f>"434512"</f>
        <v>434512</v>
      </c>
      <c r="D6081" t="s">
        <v>6152</v>
      </c>
      <c r="E6081" t="s">
        <v>4</v>
      </c>
      <c r="F6081">
        <v>17.100000000000001</v>
      </c>
      <c r="G6081">
        <v>2.85</v>
      </c>
      <c r="H6081" t="s">
        <v>20</v>
      </c>
      <c r="I6081" s="1">
        <v>30.88</v>
      </c>
      <c r="J6081" s="1">
        <v>29.33</v>
      </c>
      <c r="K6081" t="s">
        <v>457</v>
      </c>
      <c r="L6081" s="1">
        <v>32.26</v>
      </c>
    </row>
    <row r="6082" spans="1:12">
      <c r="A6082" t="s">
        <v>6055</v>
      </c>
      <c r="B6082">
        <v>379514</v>
      </c>
      <c r="C6082" s="2" t="str">
        <f>"4347"</f>
        <v>4347</v>
      </c>
      <c r="D6082" t="s">
        <v>6153</v>
      </c>
      <c r="E6082" t="s">
        <v>4</v>
      </c>
      <c r="F6082">
        <v>20.82</v>
      </c>
      <c r="G6082">
        <v>3.47</v>
      </c>
      <c r="H6082" t="s">
        <v>20</v>
      </c>
      <c r="I6082" s="1">
        <v>37.119999999999997</v>
      </c>
      <c r="J6082" s="1">
        <v>35.26</v>
      </c>
      <c r="K6082" t="s">
        <v>457</v>
      </c>
      <c r="L6082" s="1">
        <v>38.79</v>
      </c>
    </row>
    <row r="6083" spans="1:12">
      <c r="A6083" t="s">
        <v>6055</v>
      </c>
      <c r="B6083">
        <v>379515</v>
      </c>
      <c r="C6083" s="2" t="str">
        <f>"434812"</f>
        <v>434812</v>
      </c>
      <c r="D6083" t="s">
        <v>6154</v>
      </c>
      <c r="E6083" t="s">
        <v>4</v>
      </c>
      <c r="F6083">
        <v>22.92</v>
      </c>
      <c r="G6083">
        <v>3.82</v>
      </c>
      <c r="H6083" t="s">
        <v>20</v>
      </c>
      <c r="I6083" s="1">
        <v>42.12</v>
      </c>
      <c r="J6083" s="1">
        <v>40.01</v>
      </c>
      <c r="K6083" t="s">
        <v>457</v>
      </c>
      <c r="L6083" s="1">
        <v>44.02</v>
      </c>
    </row>
    <row r="6084" spans="1:12">
      <c r="A6084" t="s">
        <v>6055</v>
      </c>
      <c r="B6084">
        <v>379516</v>
      </c>
      <c r="C6084" s="2" t="str">
        <f>"4350"</f>
        <v>4350</v>
      </c>
      <c r="D6084" t="s">
        <v>6155</v>
      </c>
      <c r="E6084" t="s">
        <v>4</v>
      </c>
      <c r="F6084">
        <v>28.2</v>
      </c>
      <c r="G6084">
        <v>4.7</v>
      </c>
      <c r="H6084" t="s">
        <v>20</v>
      </c>
      <c r="I6084" s="1">
        <v>46.35</v>
      </c>
      <c r="J6084" s="1">
        <v>44.03</v>
      </c>
      <c r="K6084" t="s">
        <v>457</v>
      </c>
      <c r="L6084" s="1">
        <v>48.43</v>
      </c>
    </row>
    <row r="6085" spans="1:12">
      <c r="A6085" t="s">
        <v>6055</v>
      </c>
      <c r="B6085">
        <v>379530</v>
      </c>
      <c r="C6085" s="2" t="str">
        <f>"4350C"</f>
        <v>4350C</v>
      </c>
      <c r="D6085" t="s">
        <v>6156</v>
      </c>
      <c r="E6085" t="s">
        <v>4</v>
      </c>
      <c r="F6085">
        <v>11.88</v>
      </c>
      <c r="G6085">
        <v>1.98</v>
      </c>
      <c r="H6085" t="s">
        <v>20</v>
      </c>
      <c r="I6085" s="1">
        <v>18.72</v>
      </c>
      <c r="J6085" s="1">
        <v>17.78</v>
      </c>
      <c r="K6085" t="s">
        <v>457</v>
      </c>
      <c r="L6085" s="1">
        <v>19.559999999999999</v>
      </c>
    </row>
    <row r="6086" spans="1:12">
      <c r="A6086" t="s">
        <v>6055</v>
      </c>
      <c r="B6086">
        <v>379556</v>
      </c>
      <c r="C6086" s="2" t="str">
        <f>"4412"</f>
        <v>4412</v>
      </c>
      <c r="D6086" t="s">
        <v>6157</v>
      </c>
      <c r="E6086" t="s">
        <v>4</v>
      </c>
      <c r="F6086">
        <v>7.98</v>
      </c>
      <c r="G6086">
        <v>1.33</v>
      </c>
      <c r="H6086" t="s">
        <v>20</v>
      </c>
      <c r="I6086" s="1">
        <v>24.83</v>
      </c>
      <c r="J6086" s="1">
        <v>23.59</v>
      </c>
      <c r="K6086" t="s">
        <v>457</v>
      </c>
      <c r="L6086" s="1">
        <v>25.95</v>
      </c>
    </row>
    <row r="6087" spans="1:12">
      <c r="A6087" t="s">
        <v>6055</v>
      </c>
      <c r="B6087">
        <v>379569</v>
      </c>
      <c r="C6087" s="2" t="str">
        <f>"4482"</f>
        <v>4482</v>
      </c>
      <c r="D6087" t="s">
        <v>6158</v>
      </c>
      <c r="E6087" t="s">
        <v>4</v>
      </c>
      <c r="F6087">
        <v>16.399999999999999</v>
      </c>
      <c r="G6087">
        <v>8.1999999999999993</v>
      </c>
      <c r="H6087" t="s">
        <v>175</v>
      </c>
      <c r="I6087" s="1">
        <v>118.89</v>
      </c>
      <c r="J6087" s="1">
        <v>112.94</v>
      </c>
      <c r="K6087" t="s">
        <v>457</v>
      </c>
      <c r="L6087" s="1">
        <v>124.23</v>
      </c>
    </row>
    <row r="6088" spans="1:12">
      <c r="A6088" t="s">
        <v>6055</v>
      </c>
      <c r="B6088">
        <v>379571</v>
      </c>
      <c r="C6088" s="2" t="str">
        <f>"448212"</f>
        <v>448212</v>
      </c>
      <c r="D6088" t="s">
        <v>6159</v>
      </c>
      <c r="E6088" t="s">
        <v>4</v>
      </c>
      <c r="F6088">
        <v>17.100000000000001</v>
      </c>
      <c r="G6088">
        <v>8.5500000000000007</v>
      </c>
      <c r="H6088" t="s">
        <v>175</v>
      </c>
      <c r="I6088" s="1">
        <v>130.97999999999999</v>
      </c>
      <c r="J6088" s="1">
        <v>124.43</v>
      </c>
      <c r="K6088" t="s">
        <v>457</v>
      </c>
      <c r="L6088" s="1">
        <v>136.87</v>
      </c>
    </row>
    <row r="6089" spans="1:12">
      <c r="A6089" t="s">
        <v>6055</v>
      </c>
      <c r="B6089">
        <v>486754</v>
      </c>
      <c r="C6089" s="2" t="str">
        <f>"4506"</f>
        <v>4506</v>
      </c>
      <c r="D6089" t="s">
        <v>6160</v>
      </c>
      <c r="E6089" t="s">
        <v>4</v>
      </c>
      <c r="F6089">
        <v>1</v>
      </c>
      <c r="H6089" t="s">
        <v>5</v>
      </c>
      <c r="I6089" s="1">
        <v>4.68</v>
      </c>
      <c r="J6089" s="1">
        <v>4.45</v>
      </c>
      <c r="K6089" t="s">
        <v>6</v>
      </c>
    </row>
    <row r="6090" spans="1:12">
      <c r="A6090" t="s">
        <v>6055</v>
      </c>
      <c r="B6090">
        <v>486755</v>
      </c>
      <c r="C6090" s="2" t="str">
        <f>"4513"</f>
        <v>4513</v>
      </c>
      <c r="D6090" t="s">
        <v>6161</v>
      </c>
      <c r="E6090" t="s">
        <v>4</v>
      </c>
      <c r="F6090">
        <v>1</v>
      </c>
      <c r="H6090" t="s">
        <v>5</v>
      </c>
      <c r="I6090" s="1">
        <v>4.68</v>
      </c>
      <c r="J6090" s="1">
        <v>4.45</v>
      </c>
      <c r="K6090" t="s">
        <v>6</v>
      </c>
    </row>
    <row r="6091" spans="1:12">
      <c r="A6091" t="s">
        <v>6055</v>
      </c>
      <c r="B6091">
        <v>486756</v>
      </c>
      <c r="C6091" s="2" t="str">
        <f>"4515"</f>
        <v>4515</v>
      </c>
      <c r="D6091" t="s">
        <v>6162</v>
      </c>
      <c r="E6091" t="s">
        <v>4</v>
      </c>
      <c r="F6091">
        <v>1</v>
      </c>
      <c r="H6091" t="s">
        <v>5</v>
      </c>
      <c r="I6091" s="1">
        <v>4.68</v>
      </c>
      <c r="J6091" s="1">
        <v>4.45</v>
      </c>
      <c r="K6091" t="s">
        <v>6</v>
      </c>
    </row>
    <row r="6092" spans="1:12">
      <c r="A6092" t="s">
        <v>6055</v>
      </c>
      <c r="B6092">
        <v>486757</v>
      </c>
      <c r="C6092" s="2" t="str">
        <f>"4516"</f>
        <v>4516</v>
      </c>
      <c r="D6092" t="s">
        <v>6163</v>
      </c>
      <c r="E6092" t="s">
        <v>4</v>
      </c>
      <c r="F6092">
        <v>1</v>
      </c>
      <c r="H6092" t="s">
        <v>5</v>
      </c>
      <c r="I6092" s="1">
        <v>4.68</v>
      </c>
      <c r="J6092" s="1">
        <v>4.45</v>
      </c>
      <c r="K6092" t="s">
        <v>6</v>
      </c>
    </row>
    <row r="6093" spans="1:12">
      <c r="A6093" t="s">
        <v>6055</v>
      </c>
      <c r="B6093">
        <v>486758</v>
      </c>
      <c r="C6093" s="2" t="str">
        <f>"4517"</f>
        <v>4517</v>
      </c>
      <c r="D6093" t="s">
        <v>6164</v>
      </c>
      <c r="E6093" t="s">
        <v>4</v>
      </c>
      <c r="F6093">
        <v>1</v>
      </c>
      <c r="H6093" t="s">
        <v>5</v>
      </c>
      <c r="I6093" s="1">
        <v>4.68</v>
      </c>
      <c r="J6093" s="1">
        <v>4.45</v>
      </c>
      <c r="K6093" t="s">
        <v>6</v>
      </c>
    </row>
    <row r="6094" spans="1:12">
      <c r="A6094" t="s">
        <v>6055</v>
      </c>
      <c r="B6094">
        <v>486759</v>
      </c>
      <c r="C6094" s="2" t="str">
        <f>"4521"</f>
        <v>4521</v>
      </c>
      <c r="D6094" t="s">
        <v>6165</v>
      </c>
      <c r="E6094" t="s">
        <v>4</v>
      </c>
      <c r="F6094">
        <v>1</v>
      </c>
      <c r="H6094" t="s">
        <v>5</v>
      </c>
      <c r="I6094" s="1">
        <v>4.68</v>
      </c>
      <c r="J6094" s="1">
        <v>4.45</v>
      </c>
      <c r="K6094" t="s">
        <v>6</v>
      </c>
    </row>
    <row r="6095" spans="1:12">
      <c r="A6095" t="s">
        <v>6055</v>
      </c>
      <c r="B6095">
        <v>486760</v>
      </c>
      <c r="C6095" s="2" t="str">
        <f>"4523"</f>
        <v>4523</v>
      </c>
      <c r="D6095" t="s">
        <v>6166</v>
      </c>
      <c r="E6095" t="s">
        <v>4</v>
      </c>
      <c r="F6095">
        <v>1</v>
      </c>
      <c r="H6095" t="s">
        <v>5</v>
      </c>
      <c r="I6095" s="1">
        <v>4.68</v>
      </c>
      <c r="J6095" s="1">
        <v>4.45</v>
      </c>
      <c r="K6095" t="s">
        <v>6</v>
      </c>
    </row>
    <row r="6096" spans="1:12">
      <c r="A6096" t="s">
        <v>6055</v>
      </c>
      <c r="B6096">
        <v>486761</v>
      </c>
      <c r="C6096" s="2" t="str">
        <f>"4530"</f>
        <v>4530</v>
      </c>
      <c r="D6096" t="s">
        <v>6167</v>
      </c>
      <c r="E6096" t="s">
        <v>4</v>
      </c>
      <c r="F6096">
        <v>1</v>
      </c>
      <c r="H6096" t="s">
        <v>5</v>
      </c>
      <c r="I6096" s="1">
        <v>4.68</v>
      </c>
      <c r="J6096" s="1">
        <v>4.45</v>
      </c>
      <c r="K6096" t="s">
        <v>6</v>
      </c>
    </row>
    <row r="6097" spans="1:12">
      <c r="A6097" t="s">
        <v>6055</v>
      </c>
      <c r="B6097">
        <v>399876</v>
      </c>
      <c r="C6097" s="2" t="str">
        <f>"45682"</f>
        <v>45682</v>
      </c>
      <c r="D6097" t="s">
        <v>6168</v>
      </c>
      <c r="E6097" t="s">
        <v>4</v>
      </c>
      <c r="F6097">
        <v>2.29</v>
      </c>
      <c r="H6097" t="s">
        <v>5</v>
      </c>
      <c r="I6097" s="1">
        <v>46.15</v>
      </c>
      <c r="J6097" s="1">
        <v>43.84</v>
      </c>
      <c r="K6097" t="s">
        <v>6</v>
      </c>
    </row>
    <row r="6098" spans="1:12">
      <c r="A6098" t="s">
        <v>6055</v>
      </c>
      <c r="B6098">
        <v>368212</v>
      </c>
      <c r="C6098" s="2" t="str">
        <f>"46003"</f>
        <v>46003</v>
      </c>
      <c r="D6098" t="s">
        <v>6169</v>
      </c>
      <c r="E6098" t="s">
        <v>4</v>
      </c>
      <c r="F6098">
        <v>3.36</v>
      </c>
      <c r="H6098" t="s">
        <v>5</v>
      </c>
      <c r="I6098" s="1">
        <v>57.72</v>
      </c>
      <c r="J6098" s="1">
        <v>54.83</v>
      </c>
      <c r="K6098" t="s">
        <v>6</v>
      </c>
    </row>
    <row r="6099" spans="1:12">
      <c r="A6099" t="s">
        <v>6055</v>
      </c>
      <c r="B6099">
        <v>368249</v>
      </c>
      <c r="C6099" s="2" t="str">
        <f>"46005"</f>
        <v>46005</v>
      </c>
      <c r="D6099" t="s">
        <v>6170</v>
      </c>
      <c r="E6099" t="s">
        <v>4</v>
      </c>
      <c r="F6099">
        <v>3</v>
      </c>
      <c r="H6099" t="s">
        <v>5</v>
      </c>
      <c r="I6099" s="1">
        <v>36.659999999999997</v>
      </c>
      <c r="J6099" s="1">
        <v>34.83</v>
      </c>
      <c r="K6099" t="s">
        <v>6</v>
      </c>
    </row>
    <row r="6100" spans="1:12">
      <c r="A6100" t="s">
        <v>6055</v>
      </c>
      <c r="B6100">
        <v>397867</v>
      </c>
      <c r="C6100" s="2" t="str">
        <f>"4605"</f>
        <v>4605</v>
      </c>
      <c r="D6100" t="s">
        <v>6171</v>
      </c>
      <c r="E6100" t="s">
        <v>4</v>
      </c>
      <c r="F6100">
        <v>6</v>
      </c>
      <c r="G6100">
        <v>1.5</v>
      </c>
      <c r="H6100" t="s">
        <v>153</v>
      </c>
      <c r="I6100" s="1">
        <v>43.94</v>
      </c>
      <c r="J6100" s="1">
        <v>41.74</v>
      </c>
      <c r="K6100" t="s">
        <v>457</v>
      </c>
      <c r="L6100" s="1">
        <v>45.92</v>
      </c>
    </row>
    <row r="6101" spans="1:12">
      <c r="A6101" t="s">
        <v>6055</v>
      </c>
      <c r="B6101">
        <v>428894</v>
      </c>
      <c r="C6101" s="2" t="str">
        <f>"46050"</f>
        <v>46050</v>
      </c>
      <c r="D6101" t="s">
        <v>6172</v>
      </c>
      <c r="E6101" t="s">
        <v>4</v>
      </c>
      <c r="F6101">
        <v>17.7</v>
      </c>
      <c r="H6101" t="s">
        <v>5</v>
      </c>
      <c r="I6101" s="1">
        <v>284.18</v>
      </c>
      <c r="J6101" s="1">
        <v>269.97000000000003</v>
      </c>
      <c r="K6101" t="s">
        <v>6</v>
      </c>
    </row>
    <row r="6102" spans="1:12">
      <c r="A6102" t="s">
        <v>6055</v>
      </c>
      <c r="B6102">
        <v>432000</v>
      </c>
      <c r="C6102" s="2" t="str">
        <f>"46060"</f>
        <v>46060</v>
      </c>
      <c r="D6102" t="s">
        <v>6173</v>
      </c>
      <c r="E6102" t="s">
        <v>4</v>
      </c>
      <c r="F6102">
        <v>4.1399999999999997</v>
      </c>
      <c r="H6102" t="s">
        <v>5</v>
      </c>
      <c r="I6102" s="1">
        <v>182</v>
      </c>
      <c r="J6102" s="1">
        <v>172.9</v>
      </c>
      <c r="K6102" t="s">
        <v>6</v>
      </c>
    </row>
    <row r="6103" spans="1:12">
      <c r="A6103" t="s">
        <v>6055</v>
      </c>
      <c r="B6103">
        <v>379651</v>
      </c>
      <c r="C6103" s="2" t="str">
        <f>"46205"</f>
        <v>46205</v>
      </c>
      <c r="D6103" t="s">
        <v>6174</v>
      </c>
      <c r="E6103" t="s">
        <v>4</v>
      </c>
      <c r="F6103">
        <v>3.48</v>
      </c>
      <c r="H6103" t="s">
        <v>5</v>
      </c>
      <c r="I6103" s="1">
        <v>98.28</v>
      </c>
      <c r="J6103" s="1">
        <v>93.37</v>
      </c>
      <c r="K6103" t="s">
        <v>6</v>
      </c>
    </row>
    <row r="6104" spans="1:12">
      <c r="A6104" t="s">
        <v>6055</v>
      </c>
      <c r="B6104">
        <v>371033</v>
      </c>
      <c r="C6104" s="2" t="str">
        <f>"46210"</f>
        <v>46210</v>
      </c>
      <c r="D6104" t="s">
        <v>6175</v>
      </c>
      <c r="E6104" t="s">
        <v>4</v>
      </c>
      <c r="F6104">
        <v>4.5</v>
      </c>
      <c r="H6104" t="s">
        <v>5</v>
      </c>
      <c r="I6104" s="1">
        <v>78</v>
      </c>
      <c r="J6104" s="1">
        <v>74.099999999999994</v>
      </c>
      <c r="K6104" t="s">
        <v>6</v>
      </c>
    </row>
    <row r="6105" spans="1:12">
      <c r="A6105" t="s">
        <v>6055</v>
      </c>
      <c r="B6105">
        <v>371129</v>
      </c>
      <c r="C6105" s="2" t="str">
        <f>"46212"</f>
        <v>46212</v>
      </c>
      <c r="D6105" t="s">
        <v>6176</v>
      </c>
      <c r="E6105" t="s">
        <v>4</v>
      </c>
      <c r="F6105">
        <v>18</v>
      </c>
      <c r="H6105" t="s">
        <v>5</v>
      </c>
      <c r="I6105" s="1">
        <v>53.82</v>
      </c>
      <c r="J6105" s="1">
        <v>51.13</v>
      </c>
      <c r="K6105" t="s">
        <v>6</v>
      </c>
    </row>
    <row r="6106" spans="1:12">
      <c r="A6106" t="s">
        <v>6055</v>
      </c>
      <c r="B6106">
        <v>371007</v>
      </c>
      <c r="C6106" s="2" t="str">
        <f>"46310"</f>
        <v>46310</v>
      </c>
      <c r="D6106" t="s">
        <v>6177</v>
      </c>
      <c r="E6106" t="s">
        <v>4</v>
      </c>
      <c r="F6106">
        <v>6.12</v>
      </c>
      <c r="H6106" t="s">
        <v>5</v>
      </c>
      <c r="I6106" s="1">
        <v>121.68</v>
      </c>
      <c r="J6106" s="1">
        <v>115.6</v>
      </c>
      <c r="K6106" t="s">
        <v>6</v>
      </c>
    </row>
    <row r="6107" spans="1:12">
      <c r="A6107" t="s">
        <v>6055</v>
      </c>
      <c r="B6107">
        <v>458968</v>
      </c>
      <c r="C6107" s="2" t="str">
        <f>"46569"</f>
        <v>46569</v>
      </c>
      <c r="D6107" t="s">
        <v>6178</v>
      </c>
      <c r="E6107" t="s">
        <v>4</v>
      </c>
      <c r="F6107">
        <v>10.9</v>
      </c>
      <c r="H6107" t="s">
        <v>5</v>
      </c>
      <c r="I6107" s="1">
        <v>172.25</v>
      </c>
      <c r="J6107" s="1">
        <v>163.63999999999999</v>
      </c>
      <c r="K6107" t="s">
        <v>6</v>
      </c>
    </row>
    <row r="6108" spans="1:12">
      <c r="A6108" t="s">
        <v>6055</v>
      </c>
      <c r="B6108">
        <v>380361</v>
      </c>
      <c r="C6108" s="2" t="str">
        <f>"46570"</f>
        <v>46570</v>
      </c>
      <c r="D6108" t="s">
        <v>6179</v>
      </c>
      <c r="E6108" t="s">
        <v>4</v>
      </c>
      <c r="F6108">
        <v>1.42</v>
      </c>
      <c r="H6108" t="s">
        <v>5</v>
      </c>
      <c r="I6108" s="1">
        <v>36.4</v>
      </c>
      <c r="J6108" s="1">
        <v>34.58</v>
      </c>
      <c r="K6108" t="s">
        <v>6</v>
      </c>
    </row>
    <row r="6109" spans="1:12">
      <c r="A6109" t="s">
        <v>6055</v>
      </c>
      <c r="B6109">
        <v>446063</v>
      </c>
      <c r="C6109" s="2" t="str">
        <f>"46590"</f>
        <v>46590</v>
      </c>
      <c r="D6109" t="s">
        <v>6180</v>
      </c>
      <c r="E6109" t="s">
        <v>4</v>
      </c>
      <c r="F6109">
        <v>7.98</v>
      </c>
      <c r="G6109">
        <v>1.33</v>
      </c>
      <c r="H6109" t="s">
        <v>20</v>
      </c>
      <c r="I6109" s="1">
        <v>26</v>
      </c>
      <c r="J6109" s="1">
        <v>24.7</v>
      </c>
      <c r="K6109" t="s">
        <v>457</v>
      </c>
      <c r="L6109" s="1">
        <v>27.17</v>
      </c>
    </row>
    <row r="6110" spans="1:12">
      <c r="A6110" t="s">
        <v>6055</v>
      </c>
      <c r="B6110">
        <v>431510</v>
      </c>
      <c r="C6110" s="2" t="str">
        <f>"46609"</f>
        <v>46609</v>
      </c>
      <c r="D6110" t="s">
        <v>6181</v>
      </c>
      <c r="E6110" t="s">
        <v>4</v>
      </c>
      <c r="F6110">
        <v>2.57</v>
      </c>
      <c r="H6110" t="s">
        <v>5</v>
      </c>
      <c r="I6110" s="1">
        <v>50.05</v>
      </c>
      <c r="J6110" s="1">
        <v>47.55</v>
      </c>
      <c r="K6110" t="s">
        <v>6</v>
      </c>
    </row>
    <row r="6111" spans="1:12">
      <c r="A6111" t="s">
        <v>6055</v>
      </c>
      <c r="B6111">
        <v>367965</v>
      </c>
      <c r="C6111" s="2" t="str">
        <f>"46713"</f>
        <v>46713</v>
      </c>
      <c r="D6111" t="s">
        <v>6182</v>
      </c>
      <c r="E6111" t="s">
        <v>4</v>
      </c>
      <c r="F6111">
        <v>1</v>
      </c>
      <c r="H6111" t="s">
        <v>5</v>
      </c>
      <c r="I6111" s="1">
        <v>7.02</v>
      </c>
      <c r="J6111" s="1">
        <v>6.67</v>
      </c>
      <c r="K6111" t="s">
        <v>6</v>
      </c>
    </row>
    <row r="6112" spans="1:12">
      <c r="A6112" t="s">
        <v>6055</v>
      </c>
      <c r="B6112">
        <v>435272</v>
      </c>
      <c r="C6112" s="2" t="str">
        <f>"46776"</f>
        <v>46776</v>
      </c>
      <c r="D6112" t="s">
        <v>6183</v>
      </c>
      <c r="E6112" t="s">
        <v>4</v>
      </c>
      <c r="F6112">
        <v>10.15</v>
      </c>
      <c r="H6112" t="s">
        <v>5</v>
      </c>
      <c r="I6112" s="1">
        <v>203.58</v>
      </c>
      <c r="J6112" s="1">
        <v>193.4</v>
      </c>
      <c r="K6112" t="s">
        <v>6</v>
      </c>
    </row>
    <row r="6113" spans="1:12">
      <c r="A6113" t="s">
        <v>6055</v>
      </c>
      <c r="B6113">
        <v>379655</v>
      </c>
      <c r="C6113" s="2" t="str">
        <f>"46811"</f>
        <v>46811</v>
      </c>
      <c r="D6113" t="s">
        <v>6184</v>
      </c>
      <c r="E6113" t="s">
        <v>4</v>
      </c>
      <c r="F6113">
        <v>3.6</v>
      </c>
      <c r="G6113">
        <v>0.15</v>
      </c>
      <c r="H6113" t="s">
        <v>666</v>
      </c>
      <c r="I6113" s="1">
        <v>1.56</v>
      </c>
      <c r="J6113" s="1">
        <v>1.48</v>
      </c>
      <c r="K6113" t="s">
        <v>457</v>
      </c>
      <c r="L6113" s="1">
        <v>1.63</v>
      </c>
    </row>
    <row r="6114" spans="1:12">
      <c r="A6114" t="s">
        <v>6055</v>
      </c>
      <c r="B6114">
        <v>379656</v>
      </c>
      <c r="C6114" s="2" t="str">
        <f>"46812"</f>
        <v>46812</v>
      </c>
      <c r="D6114" t="s">
        <v>6185</v>
      </c>
      <c r="E6114" t="s">
        <v>4</v>
      </c>
      <c r="F6114">
        <v>5.04</v>
      </c>
      <c r="G6114">
        <v>0.21</v>
      </c>
      <c r="H6114" t="s">
        <v>666</v>
      </c>
      <c r="I6114" s="1">
        <v>1.95</v>
      </c>
      <c r="J6114" s="1">
        <v>1.85</v>
      </c>
      <c r="K6114" t="s">
        <v>457</v>
      </c>
      <c r="L6114" s="1">
        <v>2.04</v>
      </c>
    </row>
    <row r="6115" spans="1:12">
      <c r="A6115" t="s">
        <v>6055</v>
      </c>
      <c r="B6115">
        <v>379657</v>
      </c>
      <c r="C6115" s="2" t="str">
        <f>"46814"</f>
        <v>46814</v>
      </c>
      <c r="D6115" t="s">
        <v>6186</v>
      </c>
      <c r="E6115" t="s">
        <v>4</v>
      </c>
      <c r="F6115">
        <v>3.72</v>
      </c>
      <c r="G6115">
        <v>0.31</v>
      </c>
      <c r="H6115" t="s">
        <v>106</v>
      </c>
      <c r="I6115" s="1">
        <v>2.6</v>
      </c>
      <c r="J6115" s="1">
        <v>2.4700000000000002</v>
      </c>
      <c r="K6115" t="s">
        <v>457</v>
      </c>
      <c r="L6115" s="1">
        <v>2.72</v>
      </c>
    </row>
    <row r="6116" spans="1:12">
      <c r="A6116" t="s">
        <v>6055</v>
      </c>
      <c r="B6116">
        <v>379658</v>
      </c>
      <c r="C6116" s="2" t="str">
        <f>"46816"</f>
        <v>46816</v>
      </c>
      <c r="D6116" t="s">
        <v>6187</v>
      </c>
      <c r="E6116" t="s">
        <v>4</v>
      </c>
      <c r="F6116">
        <v>5.04</v>
      </c>
      <c r="G6116">
        <v>0.42</v>
      </c>
      <c r="H6116" t="s">
        <v>106</v>
      </c>
      <c r="I6116" s="1">
        <v>3.32</v>
      </c>
      <c r="J6116" s="1">
        <v>3.15</v>
      </c>
      <c r="K6116" t="s">
        <v>457</v>
      </c>
      <c r="L6116" s="1">
        <v>3.46</v>
      </c>
    </row>
    <row r="6117" spans="1:12">
      <c r="A6117" t="s">
        <v>6055</v>
      </c>
      <c r="B6117">
        <v>379659</v>
      </c>
      <c r="C6117" s="2" t="str">
        <f>"46818"</f>
        <v>46818</v>
      </c>
      <c r="D6117" t="s">
        <v>6188</v>
      </c>
      <c r="E6117" t="s">
        <v>4</v>
      </c>
      <c r="F6117">
        <v>4.92</v>
      </c>
      <c r="G6117">
        <v>0.41</v>
      </c>
      <c r="H6117" t="s">
        <v>106</v>
      </c>
      <c r="I6117" s="1">
        <v>4.3600000000000003</v>
      </c>
      <c r="J6117" s="1">
        <v>4.1399999999999997</v>
      </c>
      <c r="K6117" t="s">
        <v>457</v>
      </c>
      <c r="L6117" s="1">
        <v>4.55</v>
      </c>
    </row>
    <row r="6118" spans="1:12">
      <c r="A6118" t="s">
        <v>6055</v>
      </c>
      <c r="B6118">
        <v>381759</v>
      </c>
      <c r="C6118" s="2" t="str">
        <f>"46864"</f>
        <v>46864</v>
      </c>
      <c r="D6118" t="s">
        <v>6189</v>
      </c>
      <c r="E6118" t="s">
        <v>4</v>
      </c>
      <c r="F6118">
        <v>4.08</v>
      </c>
      <c r="G6118">
        <v>0.34</v>
      </c>
      <c r="H6118" t="s">
        <v>106</v>
      </c>
      <c r="I6118" s="1">
        <v>8.4499999999999993</v>
      </c>
      <c r="J6118" s="1">
        <v>8.0299999999999994</v>
      </c>
      <c r="K6118" t="s">
        <v>457</v>
      </c>
      <c r="L6118" s="1">
        <v>8.83</v>
      </c>
    </row>
    <row r="6119" spans="1:12">
      <c r="A6119" t="s">
        <v>6055</v>
      </c>
      <c r="B6119">
        <v>535294</v>
      </c>
      <c r="C6119" s="2" t="str">
        <f>"46892"</f>
        <v>46892</v>
      </c>
      <c r="D6119" t="s">
        <v>6190</v>
      </c>
      <c r="E6119" t="s">
        <v>4</v>
      </c>
      <c r="F6119">
        <v>4.8</v>
      </c>
      <c r="G6119">
        <v>0.2</v>
      </c>
      <c r="H6119" t="s">
        <v>666</v>
      </c>
      <c r="I6119" s="1">
        <v>8.7100000000000009</v>
      </c>
      <c r="J6119" s="1">
        <v>8.27</v>
      </c>
      <c r="K6119" t="s">
        <v>21</v>
      </c>
      <c r="L6119" s="1">
        <v>9.1</v>
      </c>
    </row>
    <row r="6120" spans="1:12">
      <c r="A6120" t="s">
        <v>6055</v>
      </c>
      <c r="B6120">
        <v>534708</v>
      </c>
      <c r="C6120" s="2" t="str">
        <f>"46893"</f>
        <v>46893</v>
      </c>
      <c r="D6120" t="s">
        <v>6191</v>
      </c>
      <c r="E6120" t="s">
        <v>4</v>
      </c>
      <c r="F6120">
        <v>22.08</v>
      </c>
      <c r="G6120">
        <v>0.92</v>
      </c>
      <c r="H6120" t="s">
        <v>666</v>
      </c>
      <c r="I6120" s="1">
        <v>11.44</v>
      </c>
      <c r="J6120" s="1">
        <v>10.87</v>
      </c>
      <c r="K6120" t="s">
        <v>21</v>
      </c>
      <c r="L6120" s="1">
        <v>11.95</v>
      </c>
    </row>
    <row r="6121" spans="1:12">
      <c r="A6121" t="s">
        <v>6055</v>
      </c>
      <c r="B6121">
        <v>528757</v>
      </c>
      <c r="C6121" s="2" t="str">
        <f>"46894"</f>
        <v>46894</v>
      </c>
      <c r="D6121" t="s">
        <v>6192</v>
      </c>
      <c r="E6121" t="s">
        <v>4</v>
      </c>
      <c r="F6121">
        <v>33.200000000000003</v>
      </c>
      <c r="G6121">
        <v>1.66</v>
      </c>
      <c r="H6121" t="s">
        <v>6193</v>
      </c>
      <c r="I6121" s="1">
        <v>17.55</v>
      </c>
      <c r="J6121" s="1">
        <v>16.670000000000002</v>
      </c>
      <c r="K6121" t="s">
        <v>21</v>
      </c>
      <c r="L6121" s="1">
        <v>18.34</v>
      </c>
    </row>
    <row r="6122" spans="1:12">
      <c r="A6122" t="s">
        <v>6055</v>
      </c>
      <c r="B6122">
        <v>379664</v>
      </c>
      <c r="C6122" s="2" t="str">
        <f>"46901"</f>
        <v>46901</v>
      </c>
      <c r="D6122" t="s">
        <v>6194</v>
      </c>
      <c r="E6122" t="s">
        <v>4</v>
      </c>
      <c r="F6122">
        <v>4.5599999999999996</v>
      </c>
      <c r="G6122">
        <v>0.19</v>
      </c>
      <c r="H6122" t="s">
        <v>666</v>
      </c>
      <c r="I6122" s="1">
        <v>2.21</v>
      </c>
      <c r="J6122" s="1">
        <v>2.1</v>
      </c>
      <c r="K6122" t="s">
        <v>457</v>
      </c>
      <c r="L6122" s="1">
        <v>2.31</v>
      </c>
    </row>
    <row r="6123" spans="1:12">
      <c r="A6123" t="s">
        <v>6055</v>
      </c>
      <c r="B6123">
        <v>379666</v>
      </c>
      <c r="C6123" s="2" t="str">
        <f>"46902"</f>
        <v>46902</v>
      </c>
      <c r="D6123" t="s">
        <v>6195</v>
      </c>
      <c r="E6123" t="s">
        <v>4</v>
      </c>
      <c r="F6123">
        <v>5.52</v>
      </c>
      <c r="G6123">
        <v>0.23</v>
      </c>
      <c r="H6123" t="s">
        <v>666</v>
      </c>
      <c r="I6123" s="1">
        <v>2.6</v>
      </c>
      <c r="J6123" s="1">
        <v>2.4700000000000002</v>
      </c>
      <c r="K6123" t="s">
        <v>457</v>
      </c>
      <c r="L6123" s="1">
        <v>2.72</v>
      </c>
    </row>
    <row r="6124" spans="1:12">
      <c r="A6124" t="s">
        <v>6055</v>
      </c>
      <c r="B6124">
        <v>381691</v>
      </c>
      <c r="C6124" s="2" t="str">
        <f>"46903"</f>
        <v>46903</v>
      </c>
      <c r="D6124" t="s">
        <v>6196</v>
      </c>
      <c r="E6124" t="s">
        <v>4</v>
      </c>
      <c r="F6124">
        <v>9.84</v>
      </c>
      <c r="G6124">
        <v>0.41</v>
      </c>
      <c r="H6124" t="s">
        <v>666</v>
      </c>
      <c r="I6124" s="1">
        <v>2.73</v>
      </c>
      <c r="J6124" s="1">
        <v>2.59</v>
      </c>
      <c r="K6124" t="s">
        <v>457</v>
      </c>
      <c r="L6124" s="1">
        <v>2.85</v>
      </c>
    </row>
    <row r="6125" spans="1:12">
      <c r="A6125" t="s">
        <v>6055</v>
      </c>
      <c r="B6125">
        <v>379667</v>
      </c>
      <c r="C6125" s="2" t="str">
        <f>"46904"</f>
        <v>46904</v>
      </c>
      <c r="D6125" t="s">
        <v>6197</v>
      </c>
      <c r="E6125" t="s">
        <v>4</v>
      </c>
      <c r="F6125">
        <v>3.72</v>
      </c>
      <c r="G6125">
        <v>0.31</v>
      </c>
      <c r="H6125" t="s">
        <v>106</v>
      </c>
      <c r="I6125" s="1">
        <v>2.99</v>
      </c>
      <c r="J6125" s="1">
        <v>2.84</v>
      </c>
      <c r="K6125" t="s">
        <v>457</v>
      </c>
      <c r="L6125" s="1">
        <v>3.12</v>
      </c>
    </row>
    <row r="6126" spans="1:12">
      <c r="A6126" t="s">
        <v>6055</v>
      </c>
      <c r="B6126">
        <v>379668</v>
      </c>
      <c r="C6126" s="2" t="str">
        <f>"46906"</f>
        <v>46906</v>
      </c>
      <c r="D6126" t="s">
        <v>6198</v>
      </c>
      <c r="E6126" t="s">
        <v>4</v>
      </c>
      <c r="F6126">
        <v>4.2</v>
      </c>
      <c r="G6126">
        <v>0.35</v>
      </c>
      <c r="H6126" t="s">
        <v>106</v>
      </c>
      <c r="I6126" s="1">
        <v>3.19</v>
      </c>
      <c r="J6126" s="1">
        <v>3.03</v>
      </c>
      <c r="K6126" t="s">
        <v>457</v>
      </c>
      <c r="L6126" s="1">
        <v>3.33</v>
      </c>
    </row>
    <row r="6127" spans="1:12">
      <c r="A6127" t="s">
        <v>6055</v>
      </c>
      <c r="B6127">
        <v>379669</v>
      </c>
      <c r="C6127" s="2" t="str">
        <f>"46908"</f>
        <v>46908</v>
      </c>
      <c r="D6127" t="s">
        <v>6199</v>
      </c>
      <c r="E6127" t="s">
        <v>4</v>
      </c>
      <c r="F6127">
        <v>5.4</v>
      </c>
      <c r="G6127">
        <v>0.45</v>
      </c>
      <c r="H6127" t="s">
        <v>106</v>
      </c>
      <c r="I6127" s="1">
        <v>3.45</v>
      </c>
      <c r="J6127" s="1">
        <v>3.27</v>
      </c>
      <c r="K6127" t="s">
        <v>457</v>
      </c>
      <c r="L6127" s="1">
        <v>3.6</v>
      </c>
    </row>
    <row r="6128" spans="1:12">
      <c r="A6128" t="s">
        <v>6055</v>
      </c>
      <c r="B6128">
        <v>379671</v>
      </c>
      <c r="C6128" s="2" t="str">
        <f>"46912"</f>
        <v>46912</v>
      </c>
      <c r="D6128" t="s">
        <v>6200</v>
      </c>
      <c r="E6128" t="s">
        <v>4</v>
      </c>
      <c r="F6128">
        <v>6.84</v>
      </c>
      <c r="G6128">
        <v>0.56999999999999995</v>
      </c>
      <c r="H6128" t="s">
        <v>106</v>
      </c>
      <c r="I6128" s="1">
        <v>4.29</v>
      </c>
      <c r="J6128" s="1">
        <v>4.08</v>
      </c>
      <c r="K6128" t="s">
        <v>457</v>
      </c>
      <c r="L6128" s="1">
        <v>4.4800000000000004</v>
      </c>
    </row>
    <row r="6129" spans="1:12">
      <c r="A6129" t="s">
        <v>6055</v>
      </c>
      <c r="B6129">
        <v>460082</v>
      </c>
      <c r="C6129" s="2" t="str">
        <f>"46915"</f>
        <v>46915</v>
      </c>
      <c r="D6129" t="s">
        <v>6201</v>
      </c>
      <c r="E6129" t="s">
        <v>4</v>
      </c>
      <c r="F6129">
        <v>2.52</v>
      </c>
      <c r="G6129">
        <v>0.21</v>
      </c>
      <c r="H6129" t="s">
        <v>106</v>
      </c>
      <c r="I6129" s="1">
        <v>2.2799999999999998</v>
      </c>
      <c r="J6129" s="1">
        <v>2.16</v>
      </c>
      <c r="K6129" t="s">
        <v>457</v>
      </c>
      <c r="L6129" s="1">
        <v>2.38</v>
      </c>
    </row>
    <row r="6130" spans="1:12">
      <c r="A6130" t="s">
        <v>6055</v>
      </c>
      <c r="B6130">
        <v>379672</v>
      </c>
      <c r="C6130" s="2" t="str">
        <f>"46935"</f>
        <v>46935</v>
      </c>
      <c r="D6130" t="s">
        <v>6202</v>
      </c>
      <c r="E6130" t="s">
        <v>4</v>
      </c>
      <c r="F6130">
        <v>4.5599999999999996</v>
      </c>
      <c r="G6130">
        <v>0.38</v>
      </c>
      <c r="H6130" t="s">
        <v>106</v>
      </c>
      <c r="I6130" s="1">
        <v>7.02</v>
      </c>
      <c r="J6130" s="1">
        <v>6.67</v>
      </c>
      <c r="K6130" t="s">
        <v>457</v>
      </c>
      <c r="L6130" s="1">
        <v>7.34</v>
      </c>
    </row>
    <row r="6131" spans="1:12">
      <c r="A6131" t="s">
        <v>6055</v>
      </c>
      <c r="B6131">
        <v>379673</v>
      </c>
      <c r="C6131" s="2" t="str">
        <f>"46936"</f>
        <v>46936</v>
      </c>
      <c r="D6131" t="s">
        <v>6203</v>
      </c>
      <c r="E6131" t="s">
        <v>4</v>
      </c>
      <c r="F6131">
        <v>3.84</v>
      </c>
      <c r="G6131">
        <v>0.32</v>
      </c>
      <c r="H6131" t="s">
        <v>106</v>
      </c>
      <c r="I6131" s="1">
        <v>5.2</v>
      </c>
      <c r="J6131" s="1">
        <v>4.9400000000000004</v>
      </c>
      <c r="K6131" t="s">
        <v>457</v>
      </c>
      <c r="L6131" s="1">
        <v>5.43</v>
      </c>
    </row>
    <row r="6132" spans="1:12">
      <c r="A6132" t="s">
        <v>6055</v>
      </c>
      <c r="B6132">
        <v>452049</v>
      </c>
      <c r="C6132" s="2" t="str">
        <f>"46945"</f>
        <v>46945</v>
      </c>
      <c r="D6132" t="s">
        <v>6204</v>
      </c>
      <c r="E6132" t="s">
        <v>4</v>
      </c>
      <c r="F6132">
        <v>3.48</v>
      </c>
      <c r="G6132">
        <v>0.28999999999999998</v>
      </c>
      <c r="H6132" t="s">
        <v>106</v>
      </c>
      <c r="I6132" s="1">
        <v>4.03</v>
      </c>
      <c r="J6132" s="1">
        <v>3.83</v>
      </c>
      <c r="K6132" t="s">
        <v>457</v>
      </c>
      <c r="L6132" s="1">
        <v>4.21</v>
      </c>
    </row>
    <row r="6133" spans="1:12">
      <c r="A6133" t="s">
        <v>6055</v>
      </c>
      <c r="B6133">
        <v>452050</v>
      </c>
      <c r="C6133" s="2" t="str">
        <f>"46946"</f>
        <v>46946</v>
      </c>
      <c r="D6133" t="s">
        <v>6205</v>
      </c>
      <c r="E6133" t="s">
        <v>4</v>
      </c>
      <c r="F6133">
        <v>3.36</v>
      </c>
      <c r="G6133">
        <v>0.28000000000000003</v>
      </c>
      <c r="H6133" t="s">
        <v>106</v>
      </c>
      <c r="I6133" s="1">
        <v>4.03</v>
      </c>
      <c r="J6133" s="1">
        <v>3.83</v>
      </c>
      <c r="K6133" t="s">
        <v>457</v>
      </c>
      <c r="L6133" s="1">
        <v>4.21</v>
      </c>
    </row>
    <row r="6134" spans="1:12">
      <c r="A6134" t="s">
        <v>6055</v>
      </c>
      <c r="B6134">
        <v>379674</v>
      </c>
      <c r="C6134" s="2" t="str">
        <f>"46952"</f>
        <v>46952</v>
      </c>
      <c r="D6134" t="s">
        <v>6206</v>
      </c>
      <c r="E6134" t="s">
        <v>4</v>
      </c>
      <c r="F6134">
        <v>3.12</v>
      </c>
      <c r="G6134">
        <v>0.26</v>
      </c>
      <c r="H6134" t="s">
        <v>106</v>
      </c>
      <c r="I6134" s="1">
        <v>5.59</v>
      </c>
      <c r="J6134" s="1">
        <v>5.31</v>
      </c>
      <c r="K6134" t="s">
        <v>457</v>
      </c>
      <c r="L6134" s="1">
        <v>5.84</v>
      </c>
    </row>
    <row r="6135" spans="1:12">
      <c r="A6135" t="s">
        <v>6055</v>
      </c>
      <c r="B6135">
        <v>379678</v>
      </c>
      <c r="C6135" s="2" t="str">
        <f>"46960"</f>
        <v>46960</v>
      </c>
      <c r="D6135" t="s">
        <v>6207</v>
      </c>
      <c r="E6135" t="s">
        <v>4</v>
      </c>
      <c r="F6135">
        <v>3.12</v>
      </c>
      <c r="G6135">
        <v>0.26</v>
      </c>
      <c r="H6135" t="s">
        <v>106</v>
      </c>
      <c r="I6135" s="1">
        <v>5.92</v>
      </c>
      <c r="J6135" s="1">
        <v>5.62</v>
      </c>
      <c r="K6135" t="s">
        <v>457</v>
      </c>
      <c r="L6135" s="1">
        <v>6.18</v>
      </c>
    </row>
    <row r="6136" spans="1:12">
      <c r="A6136" t="s">
        <v>6055</v>
      </c>
      <c r="B6136">
        <v>379679</v>
      </c>
      <c r="C6136" s="2" t="str">
        <f>"46961"</f>
        <v>46961</v>
      </c>
      <c r="D6136" t="s">
        <v>6208</v>
      </c>
      <c r="E6136" t="s">
        <v>4</v>
      </c>
      <c r="F6136">
        <v>2.88</v>
      </c>
      <c r="G6136">
        <v>0.24</v>
      </c>
      <c r="H6136" t="s">
        <v>106</v>
      </c>
      <c r="I6136" s="1">
        <v>1.69</v>
      </c>
      <c r="J6136" s="1">
        <v>1.61</v>
      </c>
      <c r="K6136" t="s">
        <v>457</v>
      </c>
      <c r="L6136" s="1">
        <v>1.77</v>
      </c>
    </row>
    <row r="6137" spans="1:12">
      <c r="A6137" t="s">
        <v>6055</v>
      </c>
      <c r="B6137">
        <v>379680</v>
      </c>
      <c r="C6137" s="2" t="str">
        <f>"46962"</f>
        <v>46962</v>
      </c>
      <c r="D6137" t="s">
        <v>6209</v>
      </c>
      <c r="E6137" t="s">
        <v>4</v>
      </c>
      <c r="F6137">
        <v>2.76</v>
      </c>
      <c r="G6137">
        <v>0.23</v>
      </c>
      <c r="H6137" t="s">
        <v>106</v>
      </c>
      <c r="I6137" s="1">
        <v>1.69</v>
      </c>
      <c r="J6137" s="1">
        <v>1.61</v>
      </c>
      <c r="K6137" t="s">
        <v>457</v>
      </c>
      <c r="L6137" s="1">
        <v>1.77</v>
      </c>
    </row>
    <row r="6138" spans="1:12">
      <c r="A6138" t="s">
        <v>6055</v>
      </c>
      <c r="B6138">
        <v>379681</v>
      </c>
      <c r="C6138" s="2" t="str">
        <f>"46963"</f>
        <v>46963</v>
      </c>
      <c r="D6138" t="s">
        <v>6207</v>
      </c>
      <c r="E6138" t="s">
        <v>4</v>
      </c>
      <c r="F6138">
        <v>2.52</v>
      </c>
      <c r="G6138">
        <v>0.21</v>
      </c>
      <c r="H6138" t="s">
        <v>106</v>
      </c>
      <c r="I6138" s="1">
        <v>1.69</v>
      </c>
      <c r="J6138" s="1">
        <v>1.61</v>
      </c>
      <c r="K6138" t="s">
        <v>457</v>
      </c>
      <c r="L6138" s="1">
        <v>1.77</v>
      </c>
    </row>
    <row r="6139" spans="1:12">
      <c r="A6139" t="s">
        <v>6055</v>
      </c>
      <c r="B6139">
        <v>437509</v>
      </c>
      <c r="C6139" s="2" t="str">
        <f>"46970"</f>
        <v>46970</v>
      </c>
      <c r="D6139" t="s">
        <v>6210</v>
      </c>
      <c r="E6139" t="s">
        <v>4</v>
      </c>
      <c r="F6139">
        <v>1.26</v>
      </c>
      <c r="G6139">
        <v>0.21</v>
      </c>
      <c r="H6139" t="s">
        <v>20</v>
      </c>
      <c r="I6139" s="1">
        <v>17.62</v>
      </c>
      <c r="J6139" s="1">
        <v>16.73</v>
      </c>
      <c r="K6139" t="s">
        <v>21</v>
      </c>
      <c r="L6139" s="1">
        <v>18.41</v>
      </c>
    </row>
    <row r="6140" spans="1:12">
      <c r="A6140" t="s">
        <v>6055</v>
      </c>
      <c r="B6140">
        <v>379687</v>
      </c>
      <c r="C6140" s="2" t="str">
        <f>"46973"</f>
        <v>46973</v>
      </c>
      <c r="D6140" t="s">
        <v>6211</v>
      </c>
      <c r="E6140" t="s">
        <v>4</v>
      </c>
      <c r="F6140">
        <v>3.36</v>
      </c>
      <c r="G6140">
        <v>0.28000000000000003</v>
      </c>
      <c r="H6140" t="s">
        <v>106</v>
      </c>
      <c r="I6140" s="1">
        <v>1.89</v>
      </c>
      <c r="J6140" s="1">
        <v>1.79</v>
      </c>
      <c r="K6140" t="s">
        <v>457</v>
      </c>
      <c r="L6140" s="1">
        <v>1.97</v>
      </c>
    </row>
    <row r="6141" spans="1:12">
      <c r="A6141" t="s">
        <v>6055</v>
      </c>
      <c r="B6141">
        <v>379689</v>
      </c>
      <c r="C6141" s="2" t="str">
        <f>"46975"</f>
        <v>46975</v>
      </c>
      <c r="D6141" t="s">
        <v>6212</v>
      </c>
      <c r="E6141" t="s">
        <v>4</v>
      </c>
      <c r="F6141">
        <v>3.48</v>
      </c>
      <c r="G6141">
        <v>0.28999999999999998</v>
      </c>
      <c r="H6141" t="s">
        <v>106</v>
      </c>
      <c r="I6141" s="1">
        <v>1.89</v>
      </c>
      <c r="J6141" s="1">
        <v>1.79</v>
      </c>
      <c r="K6141" t="s">
        <v>457</v>
      </c>
      <c r="L6141" s="1">
        <v>1.97</v>
      </c>
    </row>
    <row r="6142" spans="1:12">
      <c r="A6142" t="s">
        <v>6055</v>
      </c>
      <c r="B6142">
        <v>379690</v>
      </c>
      <c r="C6142" s="2" t="str">
        <f>"46976"</f>
        <v>46976</v>
      </c>
      <c r="D6142" t="s">
        <v>6213</v>
      </c>
      <c r="E6142" t="s">
        <v>4</v>
      </c>
      <c r="F6142">
        <v>3.12</v>
      </c>
      <c r="G6142">
        <v>0.26</v>
      </c>
      <c r="H6142" t="s">
        <v>106</v>
      </c>
      <c r="I6142" s="1">
        <v>1.89</v>
      </c>
      <c r="J6142" s="1">
        <v>1.79</v>
      </c>
      <c r="K6142" t="s">
        <v>457</v>
      </c>
      <c r="L6142" s="1">
        <v>1.97</v>
      </c>
    </row>
    <row r="6143" spans="1:12">
      <c r="A6143" t="s">
        <v>6055</v>
      </c>
      <c r="B6143">
        <v>379698</v>
      </c>
      <c r="C6143" s="2" t="str">
        <f>"46981"</f>
        <v>46981</v>
      </c>
      <c r="D6143" t="s">
        <v>6214</v>
      </c>
      <c r="E6143" t="s">
        <v>4</v>
      </c>
      <c r="F6143">
        <v>3.96</v>
      </c>
      <c r="G6143">
        <v>0.33</v>
      </c>
      <c r="H6143" t="s">
        <v>106</v>
      </c>
      <c r="I6143" s="1">
        <v>2.73</v>
      </c>
      <c r="J6143" s="1">
        <v>2.59</v>
      </c>
      <c r="K6143" t="s">
        <v>457</v>
      </c>
      <c r="L6143" s="1">
        <v>2.85</v>
      </c>
    </row>
    <row r="6144" spans="1:12">
      <c r="A6144" t="s">
        <v>6055</v>
      </c>
      <c r="B6144">
        <v>379700</v>
      </c>
      <c r="C6144" s="2" t="str">
        <f>"46983"</f>
        <v>46983</v>
      </c>
      <c r="D6144" t="s">
        <v>6215</v>
      </c>
      <c r="E6144" t="s">
        <v>4</v>
      </c>
      <c r="F6144">
        <v>3.96</v>
      </c>
      <c r="G6144">
        <v>0.33</v>
      </c>
      <c r="H6144" t="s">
        <v>106</v>
      </c>
      <c r="I6144" s="1">
        <v>2.73</v>
      </c>
      <c r="J6144" s="1">
        <v>2.59</v>
      </c>
      <c r="K6144" t="s">
        <v>457</v>
      </c>
      <c r="L6144" s="1">
        <v>2.85</v>
      </c>
    </row>
    <row r="6145" spans="1:12">
      <c r="A6145" t="s">
        <v>6055</v>
      </c>
      <c r="B6145">
        <v>379702</v>
      </c>
      <c r="C6145" s="2" t="str">
        <f>"46985"</f>
        <v>46985</v>
      </c>
      <c r="D6145" t="s">
        <v>6216</v>
      </c>
      <c r="E6145" t="s">
        <v>4</v>
      </c>
      <c r="F6145">
        <v>3.72</v>
      </c>
      <c r="G6145">
        <v>0.31</v>
      </c>
      <c r="H6145" t="s">
        <v>106</v>
      </c>
      <c r="I6145" s="1">
        <v>2.73</v>
      </c>
      <c r="J6145" s="1">
        <v>2.59</v>
      </c>
      <c r="K6145" t="s">
        <v>457</v>
      </c>
      <c r="L6145" s="1">
        <v>2.85</v>
      </c>
    </row>
    <row r="6146" spans="1:12">
      <c r="A6146" t="s">
        <v>6055</v>
      </c>
      <c r="B6146">
        <v>397806</v>
      </c>
      <c r="C6146" s="2" t="str">
        <f>"4700"</f>
        <v>4700</v>
      </c>
      <c r="D6146" t="s">
        <v>6217</v>
      </c>
      <c r="E6146" t="s">
        <v>4</v>
      </c>
      <c r="F6146">
        <v>6.92</v>
      </c>
      <c r="G6146">
        <v>1.73</v>
      </c>
      <c r="H6146" t="s">
        <v>153</v>
      </c>
      <c r="I6146" s="1">
        <v>67.930000000000007</v>
      </c>
      <c r="J6146" s="1">
        <v>64.53</v>
      </c>
      <c r="K6146" t="s">
        <v>457</v>
      </c>
      <c r="L6146" s="1">
        <v>70.98</v>
      </c>
    </row>
    <row r="6147" spans="1:12">
      <c r="A6147" t="s">
        <v>6055</v>
      </c>
      <c r="B6147">
        <v>432401</v>
      </c>
      <c r="C6147" s="2" t="str">
        <f>"47002"</f>
        <v>47002</v>
      </c>
      <c r="D6147" t="s">
        <v>6218</v>
      </c>
      <c r="E6147" t="s">
        <v>4</v>
      </c>
      <c r="F6147">
        <v>3.6</v>
      </c>
      <c r="G6147">
        <v>0.3</v>
      </c>
      <c r="H6147" t="s">
        <v>106</v>
      </c>
      <c r="I6147" s="1">
        <v>7.02</v>
      </c>
      <c r="J6147" s="1">
        <v>6.67</v>
      </c>
      <c r="K6147" t="s">
        <v>457</v>
      </c>
      <c r="L6147" s="1">
        <v>7.34</v>
      </c>
    </row>
    <row r="6148" spans="1:12">
      <c r="A6148" t="s">
        <v>6055</v>
      </c>
      <c r="B6148">
        <v>432402</v>
      </c>
      <c r="C6148" s="2" t="str">
        <f>"47003"</f>
        <v>47003</v>
      </c>
      <c r="D6148" t="s">
        <v>6219</v>
      </c>
      <c r="E6148" t="s">
        <v>4</v>
      </c>
      <c r="F6148">
        <v>4.08</v>
      </c>
      <c r="G6148">
        <v>0.34</v>
      </c>
      <c r="H6148" t="s">
        <v>106</v>
      </c>
      <c r="I6148" s="1">
        <v>7.74</v>
      </c>
      <c r="J6148" s="1">
        <v>7.35</v>
      </c>
      <c r="K6148" t="s">
        <v>457</v>
      </c>
      <c r="L6148" s="1">
        <v>8.08</v>
      </c>
    </row>
    <row r="6149" spans="1:12">
      <c r="A6149" t="s">
        <v>6055</v>
      </c>
      <c r="B6149">
        <v>432403</v>
      </c>
      <c r="C6149" s="2" t="str">
        <f>"47004"</f>
        <v>47004</v>
      </c>
      <c r="D6149" t="s">
        <v>6220</v>
      </c>
      <c r="E6149" t="s">
        <v>4</v>
      </c>
      <c r="F6149">
        <v>4.68</v>
      </c>
      <c r="G6149">
        <v>0.39</v>
      </c>
      <c r="H6149" t="s">
        <v>106</v>
      </c>
      <c r="I6149" s="1">
        <v>8.65</v>
      </c>
      <c r="J6149" s="1">
        <v>8.2100000000000009</v>
      </c>
      <c r="K6149" t="s">
        <v>457</v>
      </c>
      <c r="L6149" s="1">
        <v>9.0299999999999994</v>
      </c>
    </row>
    <row r="6150" spans="1:12">
      <c r="A6150" t="s">
        <v>6055</v>
      </c>
      <c r="B6150">
        <v>432404</v>
      </c>
      <c r="C6150" s="2" t="str">
        <f>"47005"</f>
        <v>47005</v>
      </c>
      <c r="D6150" t="s">
        <v>6221</v>
      </c>
      <c r="E6150" t="s">
        <v>4</v>
      </c>
      <c r="F6150">
        <v>5.16</v>
      </c>
      <c r="G6150">
        <v>0.43</v>
      </c>
      <c r="H6150" t="s">
        <v>106</v>
      </c>
      <c r="I6150" s="1">
        <v>9.17</v>
      </c>
      <c r="J6150" s="1">
        <v>8.7100000000000009</v>
      </c>
      <c r="K6150" t="s">
        <v>457</v>
      </c>
      <c r="L6150" s="1">
        <v>9.58</v>
      </c>
    </row>
    <row r="6151" spans="1:12">
      <c r="A6151" t="s">
        <v>6055</v>
      </c>
      <c r="B6151">
        <v>432405</v>
      </c>
      <c r="C6151" s="2" t="str">
        <f>"47006"</f>
        <v>47006</v>
      </c>
      <c r="D6151" t="s">
        <v>6222</v>
      </c>
      <c r="E6151" t="s">
        <v>4</v>
      </c>
      <c r="F6151">
        <v>6.36</v>
      </c>
      <c r="G6151">
        <v>0.53</v>
      </c>
      <c r="H6151" t="s">
        <v>106</v>
      </c>
      <c r="I6151" s="1">
        <v>9.82</v>
      </c>
      <c r="J6151" s="1">
        <v>9.32</v>
      </c>
      <c r="K6151" t="s">
        <v>457</v>
      </c>
      <c r="L6151" s="1">
        <v>10.26</v>
      </c>
    </row>
    <row r="6152" spans="1:12">
      <c r="A6152" t="s">
        <v>6055</v>
      </c>
      <c r="B6152">
        <v>432396</v>
      </c>
      <c r="C6152" s="2" t="str">
        <f>"47091"</f>
        <v>47091</v>
      </c>
      <c r="D6152" t="s">
        <v>6223</v>
      </c>
      <c r="E6152" t="s">
        <v>4</v>
      </c>
      <c r="F6152">
        <v>4.8</v>
      </c>
      <c r="G6152">
        <v>0.4</v>
      </c>
      <c r="H6152" t="s">
        <v>106</v>
      </c>
      <c r="I6152" s="1">
        <v>8.9700000000000006</v>
      </c>
      <c r="J6152" s="1">
        <v>8.52</v>
      </c>
      <c r="K6152" t="s">
        <v>457</v>
      </c>
      <c r="L6152" s="1">
        <v>9.3699999999999992</v>
      </c>
    </row>
    <row r="6153" spans="1:12">
      <c r="A6153" t="s">
        <v>6055</v>
      </c>
      <c r="B6153">
        <v>432397</v>
      </c>
      <c r="C6153" s="2" t="str">
        <f>"47092"</f>
        <v>47092</v>
      </c>
      <c r="D6153" t="s">
        <v>6224</v>
      </c>
      <c r="E6153" t="s">
        <v>4</v>
      </c>
      <c r="F6153">
        <v>6.24</v>
      </c>
      <c r="G6153">
        <v>0.52</v>
      </c>
      <c r="H6153" t="s">
        <v>106</v>
      </c>
      <c r="I6153" s="1">
        <v>9.56</v>
      </c>
      <c r="J6153" s="1">
        <v>9.08</v>
      </c>
      <c r="K6153" t="s">
        <v>457</v>
      </c>
      <c r="L6153" s="1">
        <v>9.99</v>
      </c>
    </row>
    <row r="6154" spans="1:12">
      <c r="A6154" t="s">
        <v>6055</v>
      </c>
      <c r="B6154">
        <v>432398</v>
      </c>
      <c r="C6154" s="2" t="str">
        <f>"47093"</f>
        <v>47093</v>
      </c>
      <c r="D6154" t="s">
        <v>6225</v>
      </c>
      <c r="E6154" t="s">
        <v>4</v>
      </c>
      <c r="F6154">
        <v>7.2</v>
      </c>
      <c r="G6154">
        <v>0.6</v>
      </c>
      <c r="H6154" t="s">
        <v>106</v>
      </c>
      <c r="I6154" s="1">
        <v>10.66</v>
      </c>
      <c r="J6154" s="1">
        <v>10.130000000000001</v>
      </c>
      <c r="K6154" t="s">
        <v>457</v>
      </c>
      <c r="L6154" s="1">
        <v>11.14</v>
      </c>
    </row>
    <row r="6155" spans="1:12">
      <c r="A6155" t="s">
        <v>6055</v>
      </c>
      <c r="B6155">
        <v>432399</v>
      </c>
      <c r="C6155" s="2" t="str">
        <f>"47094"</f>
        <v>47094</v>
      </c>
      <c r="D6155" t="s">
        <v>6226</v>
      </c>
      <c r="E6155" t="s">
        <v>4</v>
      </c>
      <c r="F6155">
        <v>7.68</v>
      </c>
      <c r="G6155">
        <v>0.64</v>
      </c>
      <c r="H6155" t="s">
        <v>106</v>
      </c>
      <c r="I6155" s="1">
        <v>11.7</v>
      </c>
      <c r="J6155" s="1">
        <v>11.12</v>
      </c>
      <c r="K6155" t="s">
        <v>457</v>
      </c>
      <c r="L6155" s="1">
        <v>12.23</v>
      </c>
    </row>
    <row r="6156" spans="1:12">
      <c r="A6156" t="s">
        <v>6055</v>
      </c>
      <c r="B6156">
        <v>432400</v>
      </c>
      <c r="C6156" s="2" t="str">
        <f>"47097"</f>
        <v>47097</v>
      </c>
      <c r="D6156" t="s">
        <v>6227</v>
      </c>
      <c r="E6156" t="s">
        <v>4</v>
      </c>
      <c r="F6156">
        <v>10.8</v>
      </c>
      <c r="G6156">
        <v>0.9</v>
      </c>
      <c r="H6156" t="s">
        <v>106</v>
      </c>
      <c r="I6156" s="1">
        <v>15.54</v>
      </c>
      <c r="J6156" s="1">
        <v>14.76</v>
      </c>
      <c r="K6156" t="s">
        <v>457</v>
      </c>
      <c r="L6156" s="1">
        <v>16.23</v>
      </c>
    </row>
    <row r="6157" spans="1:12">
      <c r="A6157" t="s">
        <v>6055</v>
      </c>
      <c r="B6157">
        <v>379722</v>
      </c>
      <c r="C6157" s="2" t="str">
        <f>"47106"</f>
        <v>47106</v>
      </c>
      <c r="D6157" t="s">
        <v>6228</v>
      </c>
      <c r="E6157" t="s">
        <v>4</v>
      </c>
      <c r="F6157">
        <v>21</v>
      </c>
      <c r="G6157">
        <v>0.35</v>
      </c>
      <c r="H6157" t="s">
        <v>6229</v>
      </c>
      <c r="I6157" s="1">
        <v>0.85</v>
      </c>
      <c r="J6157" s="1">
        <v>0.8</v>
      </c>
      <c r="K6157" t="s">
        <v>457</v>
      </c>
      <c r="L6157" s="1">
        <v>0.88</v>
      </c>
    </row>
    <row r="6158" spans="1:12">
      <c r="A6158" t="s">
        <v>6055</v>
      </c>
      <c r="B6158">
        <v>379724</v>
      </c>
      <c r="C6158" s="2" t="str">
        <f>"47109"</f>
        <v>47109</v>
      </c>
      <c r="D6158" t="s">
        <v>6230</v>
      </c>
      <c r="E6158" t="s">
        <v>4</v>
      </c>
      <c r="F6158">
        <v>26.88</v>
      </c>
      <c r="G6158">
        <v>0.56000000000000005</v>
      </c>
      <c r="H6158" t="s">
        <v>1432</v>
      </c>
      <c r="I6158" s="1">
        <v>1.37</v>
      </c>
      <c r="J6158" s="1">
        <v>1.3</v>
      </c>
      <c r="K6158" t="s">
        <v>457</v>
      </c>
      <c r="L6158" s="1">
        <v>1.43</v>
      </c>
    </row>
    <row r="6159" spans="1:12">
      <c r="A6159" t="s">
        <v>6055</v>
      </c>
      <c r="B6159">
        <v>379727</v>
      </c>
      <c r="C6159" s="2" t="str">
        <f>"47110"</f>
        <v>47110</v>
      </c>
      <c r="D6159" t="s">
        <v>6231</v>
      </c>
      <c r="E6159" t="s">
        <v>4</v>
      </c>
      <c r="F6159">
        <v>2.16</v>
      </c>
      <c r="G6159">
        <v>0.18</v>
      </c>
      <c r="H6159" t="s">
        <v>106</v>
      </c>
      <c r="I6159" s="1">
        <v>2.15</v>
      </c>
      <c r="J6159" s="1">
        <v>2.04</v>
      </c>
      <c r="K6159" t="s">
        <v>457</v>
      </c>
      <c r="L6159" s="1">
        <v>2.2400000000000002</v>
      </c>
    </row>
    <row r="6160" spans="1:12">
      <c r="A6160" t="s">
        <v>6055</v>
      </c>
      <c r="B6160">
        <v>379726</v>
      </c>
      <c r="C6160" s="2" t="str">
        <f>"47112"</f>
        <v>47112</v>
      </c>
      <c r="D6160" t="s">
        <v>6232</v>
      </c>
      <c r="E6160" t="s">
        <v>4</v>
      </c>
      <c r="F6160">
        <v>2.88</v>
      </c>
      <c r="G6160">
        <v>0.24</v>
      </c>
      <c r="H6160" t="s">
        <v>106</v>
      </c>
      <c r="I6160" s="1">
        <v>2.2799999999999998</v>
      </c>
      <c r="J6160" s="1">
        <v>2.16</v>
      </c>
      <c r="K6160" t="s">
        <v>457</v>
      </c>
      <c r="L6160" s="1">
        <v>2.38</v>
      </c>
    </row>
    <row r="6161" spans="1:12">
      <c r="A6161" t="s">
        <v>6055</v>
      </c>
      <c r="B6161">
        <v>379730</v>
      </c>
      <c r="C6161" s="2" t="str">
        <f>"47113"</f>
        <v>47113</v>
      </c>
      <c r="D6161" t="s">
        <v>6233</v>
      </c>
      <c r="E6161" t="s">
        <v>4</v>
      </c>
      <c r="F6161">
        <v>2.64</v>
      </c>
      <c r="G6161">
        <v>0.22</v>
      </c>
      <c r="H6161" t="s">
        <v>106</v>
      </c>
      <c r="I6161" s="1">
        <v>2.54</v>
      </c>
      <c r="J6161" s="1">
        <v>2.41</v>
      </c>
      <c r="K6161" t="s">
        <v>457</v>
      </c>
      <c r="L6161" s="1">
        <v>2.65</v>
      </c>
    </row>
    <row r="6162" spans="1:12">
      <c r="A6162" t="s">
        <v>6055</v>
      </c>
      <c r="B6162">
        <v>379732</v>
      </c>
      <c r="C6162" s="2" t="str">
        <f>"47116"</f>
        <v>47116</v>
      </c>
      <c r="D6162" t="s">
        <v>6234</v>
      </c>
      <c r="E6162" t="s">
        <v>4</v>
      </c>
      <c r="F6162">
        <v>3.6</v>
      </c>
      <c r="G6162">
        <v>0.3</v>
      </c>
      <c r="H6162" t="s">
        <v>106</v>
      </c>
      <c r="I6162" s="1">
        <v>2.99</v>
      </c>
      <c r="J6162" s="1">
        <v>2.84</v>
      </c>
      <c r="K6162" t="s">
        <v>457</v>
      </c>
      <c r="L6162" s="1">
        <v>3.12</v>
      </c>
    </row>
    <row r="6163" spans="1:12">
      <c r="A6163" t="s">
        <v>6055</v>
      </c>
      <c r="B6163">
        <v>379734</v>
      </c>
      <c r="C6163" s="2" t="str">
        <f>"47139"</f>
        <v>47139</v>
      </c>
      <c r="D6163" t="s">
        <v>6235</v>
      </c>
      <c r="E6163" t="s">
        <v>4</v>
      </c>
      <c r="F6163">
        <v>6.36</v>
      </c>
      <c r="G6163">
        <v>0.53</v>
      </c>
      <c r="H6163" t="s">
        <v>106</v>
      </c>
      <c r="I6163" s="1">
        <v>9.3000000000000007</v>
      </c>
      <c r="J6163" s="1">
        <v>8.83</v>
      </c>
      <c r="K6163" t="s">
        <v>457</v>
      </c>
      <c r="L6163" s="1">
        <v>9.7100000000000009</v>
      </c>
    </row>
    <row r="6164" spans="1:12">
      <c r="A6164" t="s">
        <v>6055</v>
      </c>
      <c r="B6164">
        <v>379738</v>
      </c>
      <c r="C6164" s="2" t="str">
        <f>"47140"</f>
        <v>47140</v>
      </c>
      <c r="D6164" t="s">
        <v>6236</v>
      </c>
      <c r="E6164" t="s">
        <v>4</v>
      </c>
      <c r="F6164">
        <v>6.12</v>
      </c>
      <c r="G6164">
        <v>0.51</v>
      </c>
      <c r="H6164" t="s">
        <v>106</v>
      </c>
      <c r="I6164" s="1">
        <v>9.3000000000000007</v>
      </c>
      <c r="J6164" s="1">
        <v>8.83</v>
      </c>
      <c r="K6164" t="s">
        <v>21</v>
      </c>
      <c r="L6164" s="1">
        <v>9.7100000000000009</v>
      </c>
    </row>
    <row r="6165" spans="1:12">
      <c r="A6165" t="s">
        <v>6055</v>
      </c>
      <c r="B6165">
        <v>379740</v>
      </c>
      <c r="C6165" s="2" t="str">
        <f>"47141"</f>
        <v>47141</v>
      </c>
      <c r="D6165" t="s">
        <v>6237</v>
      </c>
      <c r="E6165" t="s">
        <v>4</v>
      </c>
      <c r="F6165">
        <v>6</v>
      </c>
      <c r="G6165">
        <v>0.5</v>
      </c>
      <c r="H6165" t="s">
        <v>106</v>
      </c>
      <c r="I6165" s="1">
        <v>9.3000000000000007</v>
      </c>
      <c r="J6165" s="1">
        <v>8.83</v>
      </c>
      <c r="K6165" t="s">
        <v>457</v>
      </c>
      <c r="L6165" s="1">
        <v>9.7100000000000009</v>
      </c>
    </row>
    <row r="6166" spans="1:12">
      <c r="A6166" t="s">
        <v>6055</v>
      </c>
      <c r="B6166">
        <v>379741</v>
      </c>
      <c r="C6166" s="2" t="str">
        <f>"47142"</f>
        <v>47142</v>
      </c>
      <c r="D6166" t="s">
        <v>6238</v>
      </c>
      <c r="E6166" t="s">
        <v>4</v>
      </c>
      <c r="F6166">
        <v>5.76</v>
      </c>
      <c r="G6166">
        <v>0.48</v>
      </c>
      <c r="H6166" t="s">
        <v>106</v>
      </c>
      <c r="I6166" s="1">
        <v>9.3000000000000007</v>
      </c>
      <c r="J6166" s="1">
        <v>8.83</v>
      </c>
      <c r="K6166" t="s">
        <v>457</v>
      </c>
      <c r="L6166" s="1">
        <v>9.7100000000000009</v>
      </c>
    </row>
    <row r="6167" spans="1:12">
      <c r="A6167" t="s">
        <v>6055</v>
      </c>
      <c r="B6167">
        <v>379742</v>
      </c>
      <c r="C6167" s="2" t="str">
        <f>"47143"</f>
        <v>47143</v>
      </c>
      <c r="D6167" t="s">
        <v>6239</v>
      </c>
      <c r="E6167" t="s">
        <v>4</v>
      </c>
      <c r="F6167">
        <v>5.4</v>
      </c>
      <c r="G6167">
        <v>0.45</v>
      </c>
      <c r="H6167" t="s">
        <v>106</v>
      </c>
      <c r="I6167" s="1">
        <v>9.3000000000000007</v>
      </c>
      <c r="J6167" s="1">
        <v>8.83</v>
      </c>
      <c r="K6167" t="s">
        <v>457</v>
      </c>
      <c r="L6167" s="1">
        <v>9.7100000000000009</v>
      </c>
    </row>
    <row r="6168" spans="1:12">
      <c r="A6168" t="s">
        <v>6055</v>
      </c>
      <c r="B6168">
        <v>379744</v>
      </c>
      <c r="C6168" s="2" t="str">
        <f>"47144"</f>
        <v>47144</v>
      </c>
      <c r="D6168" t="s">
        <v>6240</v>
      </c>
      <c r="E6168" t="s">
        <v>4</v>
      </c>
      <c r="F6168">
        <v>5.28</v>
      </c>
      <c r="G6168">
        <v>0.44</v>
      </c>
      <c r="H6168" t="s">
        <v>106</v>
      </c>
      <c r="I6168" s="1">
        <v>9.3000000000000007</v>
      </c>
      <c r="J6168" s="1">
        <v>8.83</v>
      </c>
      <c r="K6168" t="s">
        <v>457</v>
      </c>
      <c r="L6168" s="1">
        <v>9.7100000000000009</v>
      </c>
    </row>
    <row r="6169" spans="1:12">
      <c r="A6169" t="s">
        <v>6055</v>
      </c>
      <c r="B6169">
        <v>379745</v>
      </c>
      <c r="C6169" s="2" t="str">
        <f>"47145"</f>
        <v>47145</v>
      </c>
      <c r="D6169" t="s">
        <v>6241</v>
      </c>
      <c r="E6169" t="s">
        <v>4</v>
      </c>
      <c r="F6169">
        <v>5.16</v>
      </c>
      <c r="G6169">
        <v>0.43</v>
      </c>
      <c r="H6169" t="s">
        <v>106</v>
      </c>
      <c r="I6169" s="1">
        <v>9.3000000000000007</v>
      </c>
      <c r="J6169" s="1">
        <v>8.83</v>
      </c>
      <c r="K6169" t="s">
        <v>457</v>
      </c>
      <c r="L6169" s="1">
        <v>9.7100000000000009</v>
      </c>
    </row>
    <row r="6170" spans="1:12">
      <c r="A6170" t="s">
        <v>6055</v>
      </c>
      <c r="B6170">
        <v>379747</v>
      </c>
      <c r="C6170" s="2" t="str">
        <f>"47146"</f>
        <v>47146</v>
      </c>
      <c r="D6170" t="s">
        <v>6242</v>
      </c>
      <c r="E6170" t="s">
        <v>4</v>
      </c>
      <c r="F6170">
        <v>5.04</v>
      </c>
      <c r="G6170">
        <v>0.42</v>
      </c>
      <c r="H6170" t="s">
        <v>106</v>
      </c>
      <c r="I6170" s="1">
        <v>9.3000000000000007</v>
      </c>
      <c r="J6170" s="1">
        <v>8.83</v>
      </c>
      <c r="K6170" t="s">
        <v>457</v>
      </c>
      <c r="L6170" s="1">
        <v>9.7100000000000009</v>
      </c>
    </row>
    <row r="6171" spans="1:12">
      <c r="A6171" t="s">
        <v>6055</v>
      </c>
      <c r="B6171">
        <v>379748</v>
      </c>
      <c r="C6171" s="2" t="str">
        <f>"47147"</f>
        <v>47147</v>
      </c>
      <c r="D6171" t="s">
        <v>6243</v>
      </c>
      <c r="E6171" t="s">
        <v>4</v>
      </c>
      <c r="F6171">
        <v>5.16</v>
      </c>
      <c r="G6171">
        <v>0.43</v>
      </c>
      <c r="H6171" t="s">
        <v>106</v>
      </c>
      <c r="I6171" s="1">
        <v>9.3000000000000007</v>
      </c>
      <c r="J6171" s="1">
        <v>8.83</v>
      </c>
      <c r="K6171" t="s">
        <v>457</v>
      </c>
      <c r="L6171" s="1">
        <v>9.7100000000000009</v>
      </c>
    </row>
    <row r="6172" spans="1:12">
      <c r="A6172" t="s">
        <v>6055</v>
      </c>
      <c r="B6172">
        <v>453510</v>
      </c>
      <c r="C6172" s="2" t="str">
        <f>"47159"</f>
        <v>47159</v>
      </c>
      <c r="D6172" t="s">
        <v>6244</v>
      </c>
      <c r="E6172" t="s">
        <v>4</v>
      </c>
      <c r="F6172">
        <v>4.5599999999999996</v>
      </c>
      <c r="G6172">
        <v>0.38</v>
      </c>
      <c r="H6172" t="s">
        <v>106</v>
      </c>
      <c r="I6172" s="1">
        <v>9.56</v>
      </c>
      <c r="J6172" s="1">
        <v>9.08</v>
      </c>
      <c r="K6172" t="s">
        <v>457</v>
      </c>
      <c r="L6172" s="1">
        <v>9.99</v>
      </c>
    </row>
    <row r="6173" spans="1:12">
      <c r="A6173" t="s">
        <v>6055</v>
      </c>
      <c r="B6173">
        <v>453509</v>
      </c>
      <c r="C6173" s="2" t="str">
        <f>"47161"</f>
        <v>47161</v>
      </c>
      <c r="D6173" t="s">
        <v>6245</v>
      </c>
      <c r="E6173" t="s">
        <v>4</v>
      </c>
      <c r="F6173">
        <v>4.08</v>
      </c>
      <c r="G6173">
        <v>0.34</v>
      </c>
      <c r="H6173" t="s">
        <v>106</v>
      </c>
      <c r="I6173" s="1">
        <v>9.56</v>
      </c>
      <c r="J6173" s="1">
        <v>9.08</v>
      </c>
      <c r="K6173" t="s">
        <v>457</v>
      </c>
      <c r="L6173" s="1">
        <v>9.99</v>
      </c>
    </row>
    <row r="6174" spans="1:12">
      <c r="A6174" t="s">
        <v>6055</v>
      </c>
      <c r="B6174">
        <v>379749</v>
      </c>
      <c r="C6174" s="2" t="str">
        <f>"47309"</f>
        <v>47309</v>
      </c>
      <c r="D6174" t="s">
        <v>6246</v>
      </c>
      <c r="E6174" t="s">
        <v>4</v>
      </c>
      <c r="F6174">
        <v>3.72</v>
      </c>
      <c r="G6174">
        <v>0.31</v>
      </c>
      <c r="H6174" t="s">
        <v>106</v>
      </c>
      <c r="I6174" s="1">
        <v>3.06</v>
      </c>
      <c r="J6174" s="1">
        <v>2.9</v>
      </c>
      <c r="K6174" t="s">
        <v>457</v>
      </c>
      <c r="L6174" s="1">
        <v>3.19</v>
      </c>
    </row>
    <row r="6175" spans="1:12">
      <c r="A6175" t="s">
        <v>6055</v>
      </c>
      <c r="B6175">
        <v>379751</v>
      </c>
      <c r="C6175" s="2" t="str">
        <f>"47312"</f>
        <v>47312</v>
      </c>
      <c r="D6175" t="s">
        <v>6247</v>
      </c>
      <c r="E6175" t="s">
        <v>4</v>
      </c>
      <c r="F6175">
        <v>4.2</v>
      </c>
      <c r="G6175">
        <v>0.35</v>
      </c>
      <c r="H6175" t="s">
        <v>106</v>
      </c>
      <c r="I6175" s="1">
        <v>4.03</v>
      </c>
      <c r="J6175" s="1">
        <v>3.83</v>
      </c>
      <c r="K6175" t="s">
        <v>457</v>
      </c>
      <c r="L6175" s="1">
        <v>4.21</v>
      </c>
    </row>
    <row r="6176" spans="1:12">
      <c r="A6176" t="s">
        <v>6055</v>
      </c>
      <c r="B6176">
        <v>379752</v>
      </c>
      <c r="C6176" s="2" t="str">
        <f>"47316"</f>
        <v>47316</v>
      </c>
      <c r="D6176" t="s">
        <v>6248</v>
      </c>
      <c r="E6176" t="s">
        <v>4</v>
      </c>
      <c r="F6176">
        <v>5.52</v>
      </c>
      <c r="G6176">
        <v>0.46</v>
      </c>
      <c r="H6176" t="s">
        <v>106</v>
      </c>
      <c r="I6176" s="1">
        <v>5.07</v>
      </c>
      <c r="J6176" s="1">
        <v>4.82</v>
      </c>
      <c r="K6176" t="s">
        <v>457</v>
      </c>
      <c r="L6176" s="1">
        <v>5.3</v>
      </c>
    </row>
    <row r="6177" spans="1:12">
      <c r="A6177" t="s">
        <v>6055</v>
      </c>
      <c r="B6177">
        <v>380441</v>
      </c>
      <c r="C6177" s="2" t="str">
        <f>"47406"</f>
        <v>47406</v>
      </c>
      <c r="D6177" t="s">
        <v>6249</v>
      </c>
      <c r="E6177" t="s">
        <v>4</v>
      </c>
      <c r="F6177">
        <v>3.96</v>
      </c>
      <c r="H6177" t="s">
        <v>5</v>
      </c>
      <c r="I6177" s="1">
        <v>47.58</v>
      </c>
      <c r="J6177" s="1">
        <v>45.2</v>
      </c>
      <c r="K6177" t="s">
        <v>6</v>
      </c>
    </row>
    <row r="6178" spans="1:12">
      <c r="A6178" t="s">
        <v>6055</v>
      </c>
      <c r="B6178">
        <v>419730</v>
      </c>
      <c r="C6178" s="2" t="str">
        <f>"4742-01"</f>
        <v>4742-01</v>
      </c>
      <c r="D6178" t="s">
        <v>6250</v>
      </c>
      <c r="E6178" t="s">
        <v>4</v>
      </c>
      <c r="F6178">
        <v>4</v>
      </c>
      <c r="H6178" t="s">
        <v>5</v>
      </c>
      <c r="I6178" s="1">
        <v>53.37</v>
      </c>
      <c r="J6178" s="1">
        <v>50.7</v>
      </c>
      <c r="K6178" t="s">
        <v>6</v>
      </c>
    </row>
    <row r="6179" spans="1:12">
      <c r="A6179" t="s">
        <v>6055</v>
      </c>
      <c r="B6179">
        <v>380437</v>
      </c>
      <c r="C6179" s="2" t="str">
        <f>"47422"</f>
        <v>47422</v>
      </c>
      <c r="D6179" t="s">
        <v>6251</v>
      </c>
      <c r="E6179" t="s">
        <v>4</v>
      </c>
      <c r="F6179">
        <v>5.4</v>
      </c>
      <c r="H6179" t="s">
        <v>5</v>
      </c>
      <c r="I6179" s="1">
        <v>77.22</v>
      </c>
      <c r="J6179" s="1">
        <v>73.36</v>
      </c>
      <c r="K6179" t="s">
        <v>6</v>
      </c>
    </row>
    <row r="6180" spans="1:12">
      <c r="A6180" t="s">
        <v>6055</v>
      </c>
      <c r="B6180">
        <v>380432</v>
      </c>
      <c r="C6180" s="2" t="str">
        <f>"47428"</f>
        <v>47428</v>
      </c>
      <c r="D6180" t="s">
        <v>6252</v>
      </c>
      <c r="E6180" t="s">
        <v>4</v>
      </c>
      <c r="F6180">
        <v>3.6</v>
      </c>
      <c r="H6180" t="s">
        <v>5</v>
      </c>
      <c r="I6180" s="1">
        <v>65.52</v>
      </c>
      <c r="J6180" s="1">
        <v>62.24</v>
      </c>
      <c r="K6180" t="s">
        <v>6</v>
      </c>
    </row>
    <row r="6181" spans="1:12">
      <c r="A6181" t="s">
        <v>6055</v>
      </c>
      <c r="B6181">
        <v>425553</v>
      </c>
      <c r="C6181" s="2" t="str">
        <f>"4743-01"</f>
        <v>4743-01</v>
      </c>
      <c r="D6181" t="s">
        <v>6253</v>
      </c>
      <c r="E6181" t="s">
        <v>4</v>
      </c>
      <c r="F6181">
        <v>4</v>
      </c>
      <c r="H6181" t="s">
        <v>5</v>
      </c>
      <c r="I6181" s="1">
        <v>53.37</v>
      </c>
      <c r="J6181" s="1">
        <v>50.7</v>
      </c>
      <c r="K6181" t="s">
        <v>6</v>
      </c>
    </row>
    <row r="6182" spans="1:12">
      <c r="A6182" t="s">
        <v>6055</v>
      </c>
      <c r="B6182">
        <v>382405</v>
      </c>
      <c r="C6182" s="2" t="str">
        <f>"4748-05"</f>
        <v>4748-05</v>
      </c>
      <c r="D6182" t="s">
        <v>6254</v>
      </c>
      <c r="E6182" t="s">
        <v>4</v>
      </c>
      <c r="F6182">
        <v>3</v>
      </c>
      <c r="G6182">
        <v>0.5</v>
      </c>
      <c r="H6182" t="s">
        <v>20</v>
      </c>
      <c r="I6182" s="1">
        <v>14.56</v>
      </c>
      <c r="J6182" s="1">
        <v>13.83</v>
      </c>
      <c r="K6182" t="s">
        <v>457</v>
      </c>
      <c r="L6182" s="1">
        <v>15.22</v>
      </c>
    </row>
    <row r="6183" spans="1:12">
      <c r="A6183" t="s">
        <v>6055</v>
      </c>
      <c r="B6183">
        <v>382406</v>
      </c>
      <c r="C6183" s="2" t="str">
        <f>"4748-18"</f>
        <v>4748-18</v>
      </c>
      <c r="D6183" t="s">
        <v>6255</v>
      </c>
      <c r="E6183" t="s">
        <v>4</v>
      </c>
      <c r="F6183">
        <v>3</v>
      </c>
      <c r="G6183">
        <v>0.5</v>
      </c>
      <c r="H6183" t="s">
        <v>20</v>
      </c>
      <c r="I6183" s="1">
        <v>14.56</v>
      </c>
      <c r="J6183" s="1">
        <v>13.83</v>
      </c>
      <c r="K6183" t="s">
        <v>457</v>
      </c>
      <c r="L6183" s="1">
        <v>15.22</v>
      </c>
    </row>
    <row r="6184" spans="1:12">
      <c r="A6184" t="s">
        <v>6055</v>
      </c>
      <c r="B6184">
        <v>425216</v>
      </c>
      <c r="C6184" s="2" t="str">
        <f>"47488"</f>
        <v>47488</v>
      </c>
      <c r="D6184" t="s">
        <v>6256</v>
      </c>
      <c r="E6184" t="s">
        <v>4</v>
      </c>
      <c r="F6184">
        <v>6</v>
      </c>
      <c r="G6184">
        <v>1</v>
      </c>
      <c r="H6184" t="s">
        <v>20</v>
      </c>
      <c r="I6184" s="1">
        <v>29.51</v>
      </c>
      <c r="J6184" s="1">
        <v>28.03</v>
      </c>
      <c r="K6184" t="s">
        <v>457</v>
      </c>
      <c r="L6184" s="1">
        <v>30.84</v>
      </c>
    </row>
    <row r="6185" spans="1:12">
      <c r="A6185" t="s">
        <v>6055</v>
      </c>
      <c r="B6185">
        <v>425217</v>
      </c>
      <c r="C6185" s="2" t="str">
        <f>"47490"</f>
        <v>47490</v>
      </c>
      <c r="D6185" t="s">
        <v>6257</v>
      </c>
      <c r="E6185" t="s">
        <v>4</v>
      </c>
      <c r="F6185">
        <v>6.18</v>
      </c>
      <c r="G6185">
        <v>1.03</v>
      </c>
      <c r="H6185" t="s">
        <v>20</v>
      </c>
      <c r="I6185" s="1">
        <v>34.840000000000003</v>
      </c>
      <c r="J6185" s="1">
        <v>33.1</v>
      </c>
      <c r="K6185" t="s">
        <v>457</v>
      </c>
      <c r="L6185" s="1">
        <v>36.409999999999997</v>
      </c>
    </row>
    <row r="6186" spans="1:12">
      <c r="A6186" t="s">
        <v>6055</v>
      </c>
      <c r="B6186">
        <v>379753</v>
      </c>
      <c r="C6186" s="2" t="str">
        <f>"47573"</f>
        <v>47573</v>
      </c>
      <c r="D6186" t="s">
        <v>6258</v>
      </c>
      <c r="E6186" t="s">
        <v>4</v>
      </c>
      <c r="F6186">
        <v>2.88</v>
      </c>
      <c r="G6186">
        <v>0.24</v>
      </c>
      <c r="H6186" t="s">
        <v>106</v>
      </c>
      <c r="I6186" s="1">
        <v>4.03</v>
      </c>
      <c r="J6186" s="1">
        <v>3.83</v>
      </c>
      <c r="K6186" t="s">
        <v>457</v>
      </c>
      <c r="L6186" s="1">
        <v>4.21</v>
      </c>
    </row>
    <row r="6187" spans="1:12">
      <c r="A6187" t="s">
        <v>6055</v>
      </c>
      <c r="B6187">
        <v>379756</v>
      </c>
      <c r="C6187" s="2" t="str">
        <f>"47575"</f>
        <v>47575</v>
      </c>
      <c r="D6187" t="s">
        <v>6259</v>
      </c>
      <c r="E6187" t="s">
        <v>4</v>
      </c>
      <c r="F6187">
        <v>3.6</v>
      </c>
      <c r="G6187">
        <v>0.3</v>
      </c>
      <c r="H6187" t="s">
        <v>106</v>
      </c>
      <c r="I6187" s="1">
        <v>4.55</v>
      </c>
      <c r="J6187" s="1">
        <v>4.32</v>
      </c>
      <c r="K6187" t="s">
        <v>457</v>
      </c>
      <c r="L6187" s="1">
        <v>4.75</v>
      </c>
    </row>
    <row r="6188" spans="1:12">
      <c r="A6188" t="s">
        <v>6055</v>
      </c>
      <c r="B6188">
        <v>379757</v>
      </c>
      <c r="C6188" s="2" t="str">
        <f>"47578"</f>
        <v>47578</v>
      </c>
      <c r="D6188" t="s">
        <v>6260</v>
      </c>
      <c r="E6188" t="s">
        <v>4</v>
      </c>
      <c r="F6188">
        <v>5.76</v>
      </c>
      <c r="G6188">
        <v>0.48</v>
      </c>
      <c r="H6188" t="s">
        <v>106</v>
      </c>
      <c r="I6188" s="1">
        <v>5.92</v>
      </c>
      <c r="J6188" s="1">
        <v>5.62</v>
      </c>
      <c r="K6188" t="s">
        <v>457</v>
      </c>
      <c r="L6188" s="1">
        <v>6.18</v>
      </c>
    </row>
    <row r="6189" spans="1:12">
      <c r="A6189" t="s">
        <v>6055</v>
      </c>
      <c r="B6189">
        <v>487202</v>
      </c>
      <c r="C6189" s="2" t="str">
        <f>"47700"</f>
        <v>47700</v>
      </c>
      <c r="D6189" t="s">
        <v>6261</v>
      </c>
      <c r="E6189" t="s">
        <v>4</v>
      </c>
      <c r="F6189">
        <v>7.08</v>
      </c>
      <c r="G6189">
        <v>0.59</v>
      </c>
      <c r="H6189" t="s">
        <v>106</v>
      </c>
      <c r="I6189" s="1">
        <v>17.809999999999999</v>
      </c>
      <c r="J6189" s="1">
        <v>16.920000000000002</v>
      </c>
      <c r="K6189" t="s">
        <v>21</v>
      </c>
      <c r="L6189" s="1">
        <v>18.61</v>
      </c>
    </row>
    <row r="6190" spans="1:12">
      <c r="A6190" t="s">
        <v>6055</v>
      </c>
      <c r="B6190">
        <v>405999</v>
      </c>
      <c r="C6190" s="2" t="str">
        <f>"47713"</f>
        <v>47713</v>
      </c>
      <c r="D6190" t="s">
        <v>6262</v>
      </c>
      <c r="E6190" t="s">
        <v>4</v>
      </c>
      <c r="F6190">
        <v>17.8</v>
      </c>
      <c r="H6190" t="s">
        <v>5</v>
      </c>
      <c r="I6190" s="1">
        <v>206.7</v>
      </c>
      <c r="J6190" s="1">
        <v>196.37</v>
      </c>
      <c r="K6190" t="s">
        <v>6</v>
      </c>
    </row>
    <row r="6191" spans="1:12">
      <c r="A6191" t="s">
        <v>6055</v>
      </c>
      <c r="B6191">
        <v>457894</v>
      </c>
      <c r="C6191" s="2" t="str">
        <f>"4780910"</f>
        <v>4780910</v>
      </c>
      <c r="D6191" t="s">
        <v>6263</v>
      </c>
      <c r="E6191" t="s">
        <v>4</v>
      </c>
      <c r="F6191">
        <v>2.88</v>
      </c>
      <c r="G6191">
        <v>0.24</v>
      </c>
      <c r="H6191" t="s">
        <v>106</v>
      </c>
      <c r="I6191" s="1">
        <v>5.85</v>
      </c>
      <c r="J6191" s="1">
        <v>5.56</v>
      </c>
      <c r="K6191" t="s">
        <v>457</v>
      </c>
      <c r="L6191" s="1">
        <v>6.11</v>
      </c>
    </row>
    <row r="6192" spans="1:12">
      <c r="A6192" t="s">
        <v>6055</v>
      </c>
      <c r="B6192">
        <v>457897</v>
      </c>
      <c r="C6192" s="2" t="str">
        <f>"4780911"</f>
        <v>4780911</v>
      </c>
      <c r="D6192" t="s">
        <v>6264</v>
      </c>
      <c r="E6192" t="s">
        <v>4</v>
      </c>
      <c r="F6192">
        <v>18</v>
      </c>
      <c r="G6192">
        <v>6</v>
      </c>
      <c r="H6192" t="s">
        <v>189</v>
      </c>
      <c r="I6192" s="1">
        <v>51.16</v>
      </c>
      <c r="J6192" s="1">
        <v>48.6</v>
      </c>
      <c r="K6192" t="s">
        <v>1866</v>
      </c>
      <c r="L6192" s="1">
        <v>53.46</v>
      </c>
    </row>
    <row r="6193" spans="1:12">
      <c r="A6193" t="s">
        <v>6055</v>
      </c>
      <c r="B6193">
        <v>460956</v>
      </c>
      <c r="C6193" s="2" t="str">
        <f>"4780920"</f>
        <v>4780920</v>
      </c>
      <c r="D6193" t="s">
        <v>6265</v>
      </c>
      <c r="E6193" t="s">
        <v>4</v>
      </c>
      <c r="F6193">
        <v>3.96</v>
      </c>
      <c r="G6193">
        <v>0.33</v>
      </c>
      <c r="H6193" t="s">
        <v>106</v>
      </c>
      <c r="I6193" s="1">
        <v>8.1300000000000008</v>
      </c>
      <c r="J6193" s="1">
        <v>7.72</v>
      </c>
      <c r="K6193" t="s">
        <v>457</v>
      </c>
      <c r="L6193" s="1">
        <v>8.49</v>
      </c>
    </row>
    <row r="6194" spans="1:12">
      <c r="A6194" t="s">
        <v>6055</v>
      </c>
      <c r="B6194">
        <v>457895</v>
      </c>
      <c r="C6194" s="2" t="str">
        <f>"4781210"</f>
        <v>4781210</v>
      </c>
      <c r="D6194" t="s">
        <v>6266</v>
      </c>
      <c r="E6194" t="s">
        <v>4</v>
      </c>
      <c r="F6194">
        <v>3.6</v>
      </c>
      <c r="G6194">
        <v>0.3</v>
      </c>
      <c r="H6194" t="s">
        <v>106</v>
      </c>
      <c r="I6194" s="1">
        <v>6.63</v>
      </c>
      <c r="J6194" s="1">
        <v>6.3</v>
      </c>
      <c r="K6194" t="s">
        <v>457</v>
      </c>
      <c r="L6194" s="1">
        <v>6.93</v>
      </c>
    </row>
    <row r="6195" spans="1:12">
      <c r="A6195" t="s">
        <v>6055</v>
      </c>
      <c r="B6195">
        <v>457896</v>
      </c>
      <c r="C6195" s="2" t="str">
        <f>"4781610"</f>
        <v>4781610</v>
      </c>
      <c r="D6195" t="s">
        <v>6234</v>
      </c>
      <c r="E6195" t="s">
        <v>4</v>
      </c>
      <c r="F6195">
        <v>4.8</v>
      </c>
      <c r="G6195">
        <v>0.4</v>
      </c>
      <c r="H6195" t="s">
        <v>106</v>
      </c>
      <c r="I6195" s="1">
        <v>8.4499999999999993</v>
      </c>
      <c r="J6195" s="1">
        <v>8.0299999999999994</v>
      </c>
      <c r="K6195" t="s">
        <v>457</v>
      </c>
      <c r="L6195" s="1">
        <v>8.83</v>
      </c>
    </row>
    <row r="6196" spans="1:12">
      <c r="A6196" t="s">
        <v>6055</v>
      </c>
      <c r="B6196">
        <v>482548</v>
      </c>
      <c r="C6196" s="2" t="str">
        <f>"4781620"</f>
        <v>4781620</v>
      </c>
      <c r="D6196" t="s">
        <v>6267</v>
      </c>
      <c r="E6196" t="s">
        <v>4</v>
      </c>
      <c r="F6196">
        <v>5.76</v>
      </c>
      <c r="G6196">
        <v>0.48</v>
      </c>
      <c r="H6196" t="s">
        <v>106</v>
      </c>
      <c r="I6196" s="1">
        <v>10.53</v>
      </c>
      <c r="J6196" s="1">
        <v>10</v>
      </c>
      <c r="K6196" t="s">
        <v>21</v>
      </c>
      <c r="L6196" s="1">
        <v>11</v>
      </c>
    </row>
    <row r="6197" spans="1:12">
      <c r="A6197" t="s">
        <v>6055</v>
      </c>
      <c r="B6197">
        <v>379759</v>
      </c>
      <c r="C6197" s="2" t="str">
        <f>"47932"</f>
        <v>47932</v>
      </c>
      <c r="D6197" t="s">
        <v>6268</v>
      </c>
      <c r="E6197" t="s">
        <v>4</v>
      </c>
      <c r="F6197">
        <v>5.04</v>
      </c>
      <c r="G6197">
        <v>0.42</v>
      </c>
      <c r="H6197" t="s">
        <v>106</v>
      </c>
      <c r="I6197" s="1">
        <v>1.82</v>
      </c>
      <c r="J6197" s="1">
        <v>1.73</v>
      </c>
      <c r="K6197" t="s">
        <v>457</v>
      </c>
      <c r="L6197" s="1">
        <v>1.9</v>
      </c>
    </row>
    <row r="6198" spans="1:12">
      <c r="A6198" t="s">
        <v>6055</v>
      </c>
      <c r="B6198">
        <v>379761</v>
      </c>
      <c r="C6198" s="2" t="str">
        <f>"47933"</f>
        <v>47933</v>
      </c>
      <c r="D6198" t="s">
        <v>6269</v>
      </c>
      <c r="E6198" t="s">
        <v>4</v>
      </c>
      <c r="F6198">
        <v>5.76</v>
      </c>
      <c r="G6198">
        <v>0.48</v>
      </c>
      <c r="H6198" t="s">
        <v>106</v>
      </c>
      <c r="I6198" s="1">
        <v>2.86</v>
      </c>
      <c r="J6198" s="1">
        <v>2.72</v>
      </c>
      <c r="K6198" t="s">
        <v>457</v>
      </c>
      <c r="L6198" s="1">
        <v>2.99</v>
      </c>
    </row>
    <row r="6199" spans="1:12">
      <c r="A6199" t="s">
        <v>6055</v>
      </c>
      <c r="B6199">
        <v>379762</v>
      </c>
      <c r="C6199" s="2" t="str">
        <f>"47934"</f>
        <v>47934</v>
      </c>
      <c r="D6199" t="s">
        <v>6270</v>
      </c>
      <c r="E6199" t="s">
        <v>4</v>
      </c>
      <c r="F6199">
        <v>7.2</v>
      </c>
      <c r="G6199">
        <v>0.6</v>
      </c>
      <c r="H6199" t="s">
        <v>106</v>
      </c>
      <c r="I6199" s="1">
        <v>3.25</v>
      </c>
      <c r="J6199" s="1">
        <v>3.09</v>
      </c>
      <c r="K6199" t="s">
        <v>457</v>
      </c>
      <c r="L6199" s="1">
        <v>3.4</v>
      </c>
    </row>
    <row r="6200" spans="1:12">
      <c r="A6200" t="s">
        <v>6055</v>
      </c>
      <c r="B6200">
        <v>379764</v>
      </c>
      <c r="C6200" s="2" t="str">
        <f>"47935"</f>
        <v>47935</v>
      </c>
      <c r="D6200" t="s">
        <v>6271</v>
      </c>
      <c r="E6200" t="s">
        <v>4</v>
      </c>
      <c r="F6200">
        <v>10.199999999999999</v>
      </c>
      <c r="G6200">
        <v>0.85</v>
      </c>
      <c r="H6200" t="s">
        <v>106</v>
      </c>
      <c r="I6200" s="1">
        <v>4.42</v>
      </c>
      <c r="J6200" s="1">
        <v>4.2</v>
      </c>
      <c r="K6200" t="s">
        <v>457</v>
      </c>
      <c r="L6200" s="1">
        <v>4.62</v>
      </c>
    </row>
    <row r="6201" spans="1:12">
      <c r="A6201" t="s">
        <v>6055</v>
      </c>
      <c r="B6201">
        <v>379768</v>
      </c>
      <c r="C6201" s="2" t="str">
        <f>"47938"</f>
        <v>47938</v>
      </c>
      <c r="D6201" t="s">
        <v>6272</v>
      </c>
      <c r="E6201" t="s">
        <v>4</v>
      </c>
      <c r="F6201">
        <v>13.44</v>
      </c>
      <c r="G6201">
        <v>1.1200000000000001</v>
      </c>
      <c r="H6201" t="s">
        <v>106</v>
      </c>
      <c r="I6201" s="1">
        <v>7.67</v>
      </c>
      <c r="J6201" s="1">
        <v>7.29</v>
      </c>
      <c r="K6201" t="s">
        <v>457</v>
      </c>
      <c r="L6201" s="1">
        <v>8.02</v>
      </c>
    </row>
    <row r="6202" spans="1:12">
      <c r="A6202" t="s">
        <v>6055</v>
      </c>
      <c r="B6202">
        <v>379769</v>
      </c>
      <c r="C6202" s="2" t="str">
        <f>"47943"</f>
        <v>47943</v>
      </c>
      <c r="D6202" t="s">
        <v>6273</v>
      </c>
      <c r="E6202" t="s">
        <v>4</v>
      </c>
      <c r="F6202">
        <v>9.7200000000000006</v>
      </c>
      <c r="G6202">
        <v>1.62</v>
      </c>
      <c r="H6202" t="s">
        <v>20</v>
      </c>
      <c r="I6202" s="1">
        <v>10.08</v>
      </c>
      <c r="J6202" s="1">
        <v>9.57</v>
      </c>
      <c r="K6202" t="s">
        <v>457</v>
      </c>
      <c r="L6202" s="1">
        <v>10.53</v>
      </c>
    </row>
    <row r="6203" spans="1:12">
      <c r="A6203" t="s">
        <v>6055</v>
      </c>
      <c r="B6203">
        <v>379771</v>
      </c>
      <c r="C6203" s="2" t="str">
        <f>"47946"</f>
        <v>47946</v>
      </c>
      <c r="D6203" t="s">
        <v>6274</v>
      </c>
      <c r="E6203" t="s">
        <v>4</v>
      </c>
      <c r="F6203">
        <v>12.9</v>
      </c>
      <c r="G6203">
        <v>2.15</v>
      </c>
      <c r="H6203" t="s">
        <v>20</v>
      </c>
      <c r="I6203" s="1">
        <v>11.38</v>
      </c>
      <c r="J6203" s="1">
        <v>10.81</v>
      </c>
      <c r="K6203" t="s">
        <v>457</v>
      </c>
      <c r="L6203" s="1">
        <v>11.89</v>
      </c>
    </row>
    <row r="6204" spans="1:12">
      <c r="A6204" t="s">
        <v>6055</v>
      </c>
      <c r="B6204">
        <v>371107</v>
      </c>
      <c r="C6204" s="2" t="str">
        <f>"48013"</f>
        <v>48013</v>
      </c>
      <c r="D6204" t="s">
        <v>6275</v>
      </c>
      <c r="E6204" t="s">
        <v>4</v>
      </c>
      <c r="F6204">
        <v>2.04</v>
      </c>
      <c r="H6204" t="s">
        <v>5</v>
      </c>
      <c r="I6204" s="1">
        <v>35.1</v>
      </c>
      <c r="J6204" s="1">
        <v>33.35</v>
      </c>
      <c r="K6204" t="s">
        <v>6</v>
      </c>
    </row>
    <row r="6205" spans="1:12">
      <c r="A6205" t="s">
        <v>6055</v>
      </c>
      <c r="B6205">
        <v>379773</v>
      </c>
      <c r="C6205" s="2" t="str">
        <f>"48015"</f>
        <v>48015</v>
      </c>
      <c r="D6205" t="s">
        <v>6276</v>
      </c>
      <c r="E6205" t="s">
        <v>4</v>
      </c>
      <c r="F6205">
        <v>2.04</v>
      </c>
      <c r="H6205" t="s">
        <v>5</v>
      </c>
      <c r="I6205" s="1">
        <v>44.46</v>
      </c>
      <c r="J6205" s="1">
        <v>42.24</v>
      </c>
      <c r="K6205" t="s">
        <v>6</v>
      </c>
    </row>
    <row r="6206" spans="1:12">
      <c r="A6206" t="s">
        <v>6055</v>
      </c>
      <c r="B6206">
        <v>368243</v>
      </c>
      <c r="C6206" s="2" t="str">
        <f>"48104"</f>
        <v>48104</v>
      </c>
      <c r="D6206" t="s">
        <v>6277</v>
      </c>
      <c r="E6206" t="s">
        <v>4</v>
      </c>
      <c r="F6206">
        <v>1.68</v>
      </c>
      <c r="H6206" t="s">
        <v>5</v>
      </c>
      <c r="I6206" s="1">
        <v>29.19</v>
      </c>
      <c r="J6206" s="1">
        <v>27.73</v>
      </c>
      <c r="K6206" t="s">
        <v>6</v>
      </c>
    </row>
    <row r="6207" spans="1:12">
      <c r="A6207" t="s">
        <v>6055</v>
      </c>
      <c r="B6207">
        <v>367991</v>
      </c>
      <c r="C6207" s="2" t="str">
        <f>"48140"</f>
        <v>48140</v>
      </c>
      <c r="D6207" t="s">
        <v>6278</v>
      </c>
      <c r="E6207" t="s">
        <v>4</v>
      </c>
      <c r="F6207">
        <v>1.2</v>
      </c>
      <c r="H6207" t="s">
        <v>5</v>
      </c>
      <c r="I6207" s="1">
        <v>15.99</v>
      </c>
      <c r="J6207" s="1">
        <v>15.19</v>
      </c>
      <c r="K6207" t="s">
        <v>6</v>
      </c>
    </row>
    <row r="6208" spans="1:12">
      <c r="A6208" t="s">
        <v>6055</v>
      </c>
      <c r="B6208">
        <v>395460</v>
      </c>
      <c r="C6208" s="2" t="str">
        <f>"48143"</f>
        <v>48143</v>
      </c>
      <c r="D6208" t="s">
        <v>6279</v>
      </c>
      <c r="E6208" t="s">
        <v>4</v>
      </c>
      <c r="F6208">
        <v>1.7</v>
      </c>
      <c r="H6208" t="s">
        <v>5</v>
      </c>
      <c r="I6208" s="1">
        <v>13.26</v>
      </c>
      <c r="J6208" s="1">
        <v>12.6</v>
      </c>
      <c r="K6208" t="s">
        <v>6</v>
      </c>
    </row>
    <row r="6209" spans="1:12">
      <c r="A6209" t="s">
        <v>6055</v>
      </c>
      <c r="B6209">
        <v>380824</v>
      </c>
      <c r="C6209" s="2" t="str">
        <f>"4842-01"</f>
        <v>4842-01</v>
      </c>
      <c r="D6209" t="s">
        <v>6280</v>
      </c>
      <c r="E6209" t="s">
        <v>4</v>
      </c>
      <c r="F6209">
        <v>5</v>
      </c>
      <c r="H6209" t="s">
        <v>5</v>
      </c>
      <c r="I6209" s="1">
        <v>43.49</v>
      </c>
      <c r="J6209" s="1">
        <v>41.31</v>
      </c>
      <c r="K6209" t="s">
        <v>6</v>
      </c>
    </row>
    <row r="6210" spans="1:12">
      <c r="A6210" t="s">
        <v>6055</v>
      </c>
      <c r="B6210">
        <v>380826</v>
      </c>
      <c r="C6210" s="2" t="str">
        <f>"4843-01"</f>
        <v>4843-01</v>
      </c>
      <c r="D6210" t="s">
        <v>6281</v>
      </c>
      <c r="E6210" t="s">
        <v>4</v>
      </c>
      <c r="F6210">
        <v>5</v>
      </c>
      <c r="H6210" t="s">
        <v>5</v>
      </c>
      <c r="I6210" s="1">
        <v>46.35</v>
      </c>
      <c r="J6210" s="1">
        <v>44.03</v>
      </c>
      <c r="K6210" t="s">
        <v>6</v>
      </c>
    </row>
    <row r="6211" spans="1:12">
      <c r="A6211" t="s">
        <v>6055</v>
      </c>
      <c r="B6211">
        <v>436215</v>
      </c>
      <c r="C6211" s="2" t="str">
        <f>"4843-06"</f>
        <v>4843-06</v>
      </c>
      <c r="D6211" t="s">
        <v>6282</v>
      </c>
      <c r="E6211" t="s">
        <v>4</v>
      </c>
      <c r="F6211">
        <v>5</v>
      </c>
      <c r="H6211" t="s">
        <v>5</v>
      </c>
      <c r="I6211" s="1">
        <v>46.35</v>
      </c>
      <c r="J6211" s="1">
        <v>44.03</v>
      </c>
      <c r="K6211" t="s">
        <v>6</v>
      </c>
    </row>
    <row r="6212" spans="1:12">
      <c r="A6212" t="s">
        <v>6055</v>
      </c>
      <c r="B6212">
        <v>431497</v>
      </c>
      <c r="C6212" s="2" t="str">
        <f>"49520"</f>
        <v>49520</v>
      </c>
      <c r="D6212" t="s">
        <v>6283</v>
      </c>
      <c r="E6212" t="s">
        <v>4</v>
      </c>
      <c r="F6212">
        <v>18.399999999999999</v>
      </c>
      <c r="H6212" t="s">
        <v>5</v>
      </c>
      <c r="I6212" s="1">
        <v>161.13999999999999</v>
      </c>
      <c r="J6212" s="1">
        <v>153.08000000000001</v>
      </c>
      <c r="K6212" t="s">
        <v>6</v>
      </c>
    </row>
    <row r="6213" spans="1:12">
      <c r="A6213" t="s">
        <v>6055</v>
      </c>
      <c r="B6213">
        <v>480714</v>
      </c>
      <c r="C6213" s="2" t="str">
        <f>"49522"</f>
        <v>49522</v>
      </c>
      <c r="D6213" t="s">
        <v>6284</v>
      </c>
      <c r="E6213" t="s">
        <v>4</v>
      </c>
      <c r="F6213">
        <v>11.78</v>
      </c>
      <c r="H6213" t="s">
        <v>5</v>
      </c>
      <c r="I6213" s="1">
        <v>132.21</v>
      </c>
      <c r="J6213" s="1">
        <v>125.6</v>
      </c>
      <c r="K6213" t="s">
        <v>6</v>
      </c>
    </row>
    <row r="6214" spans="1:12">
      <c r="A6214" t="s">
        <v>6055</v>
      </c>
      <c r="B6214">
        <v>457880</v>
      </c>
      <c r="C6214" s="2" t="str">
        <f>"4980010"</f>
        <v>4980010</v>
      </c>
      <c r="D6214" t="s">
        <v>6285</v>
      </c>
      <c r="E6214" t="s">
        <v>4</v>
      </c>
      <c r="F6214">
        <v>23.16</v>
      </c>
      <c r="G6214">
        <v>1.93</v>
      </c>
      <c r="H6214" t="s">
        <v>106</v>
      </c>
      <c r="I6214" s="1">
        <v>7.8</v>
      </c>
      <c r="J6214" s="1">
        <v>7.41</v>
      </c>
      <c r="K6214" t="s">
        <v>457</v>
      </c>
      <c r="L6214" s="1">
        <v>8.15</v>
      </c>
    </row>
    <row r="6215" spans="1:12">
      <c r="A6215" t="s">
        <v>6055</v>
      </c>
      <c r="B6215">
        <v>458183</v>
      </c>
      <c r="C6215" s="2" t="str">
        <f>"4980110"</f>
        <v>4980110</v>
      </c>
      <c r="D6215" t="s">
        <v>6286</v>
      </c>
      <c r="E6215" t="s">
        <v>4</v>
      </c>
      <c r="F6215">
        <v>34.92</v>
      </c>
      <c r="G6215">
        <v>2.91</v>
      </c>
      <c r="H6215" t="s">
        <v>106</v>
      </c>
      <c r="I6215" s="1">
        <v>8.4499999999999993</v>
      </c>
      <c r="J6215" s="1">
        <v>8.0299999999999994</v>
      </c>
      <c r="K6215" t="s">
        <v>457</v>
      </c>
      <c r="L6215" s="1">
        <v>8.83</v>
      </c>
    </row>
    <row r="6216" spans="1:12">
      <c r="A6216" t="s">
        <v>6055</v>
      </c>
      <c r="B6216">
        <v>457859</v>
      </c>
      <c r="C6216" s="2" t="str">
        <f>"4980120"</f>
        <v>4980120</v>
      </c>
      <c r="D6216" t="s">
        <v>6287</v>
      </c>
      <c r="E6216" t="s">
        <v>4</v>
      </c>
      <c r="F6216">
        <v>2.88</v>
      </c>
      <c r="G6216">
        <v>0.24</v>
      </c>
      <c r="H6216" t="s">
        <v>106</v>
      </c>
      <c r="I6216" s="1">
        <v>12.61</v>
      </c>
      <c r="J6216" s="1">
        <v>11.98</v>
      </c>
      <c r="K6216" t="s">
        <v>457</v>
      </c>
      <c r="L6216" s="1">
        <v>13.18</v>
      </c>
    </row>
    <row r="6217" spans="1:12">
      <c r="A6217" t="s">
        <v>6055</v>
      </c>
      <c r="B6217">
        <v>457883</v>
      </c>
      <c r="C6217" s="2" t="str">
        <f>"4980210"</f>
        <v>4980210</v>
      </c>
      <c r="D6217" t="s">
        <v>6288</v>
      </c>
      <c r="E6217" t="s">
        <v>4</v>
      </c>
      <c r="F6217">
        <v>5.04</v>
      </c>
      <c r="G6217">
        <v>0.42</v>
      </c>
      <c r="H6217" t="s">
        <v>106</v>
      </c>
      <c r="I6217" s="1">
        <v>9.43</v>
      </c>
      <c r="J6217" s="1">
        <v>8.9499999999999993</v>
      </c>
      <c r="K6217" t="s">
        <v>457</v>
      </c>
      <c r="L6217" s="1">
        <v>9.85</v>
      </c>
    </row>
    <row r="6218" spans="1:12">
      <c r="A6218" t="s">
        <v>6055</v>
      </c>
      <c r="B6218">
        <v>457863</v>
      </c>
      <c r="C6218" s="2" t="str">
        <f>"4980230"</f>
        <v>4980230</v>
      </c>
      <c r="D6218" t="s">
        <v>6289</v>
      </c>
      <c r="E6218" t="s">
        <v>4</v>
      </c>
      <c r="F6218">
        <v>5.04</v>
      </c>
      <c r="G6218">
        <v>0.42</v>
      </c>
      <c r="H6218" t="s">
        <v>106</v>
      </c>
      <c r="I6218" s="1">
        <v>13.46</v>
      </c>
      <c r="J6218" s="1">
        <v>12.78</v>
      </c>
      <c r="K6218" t="s">
        <v>457</v>
      </c>
      <c r="L6218" s="1">
        <v>14.06</v>
      </c>
    </row>
    <row r="6219" spans="1:12">
      <c r="A6219" t="s">
        <v>6055</v>
      </c>
      <c r="B6219">
        <v>457884</v>
      </c>
      <c r="C6219" s="2" t="str">
        <f>"4980310"</f>
        <v>4980310</v>
      </c>
      <c r="D6219" t="s">
        <v>6290</v>
      </c>
      <c r="E6219" t="s">
        <v>4</v>
      </c>
      <c r="F6219">
        <v>6.48</v>
      </c>
      <c r="G6219">
        <v>0.54</v>
      </c>
      <c r="H6219" t="s">
        <v>106</v>
      </c>
      <c r="I6219" s="1">
        <v>11.64</v>
      </c>
      <c r="J6219" s="1">
        <v>11.05</v>
      </c>
      <c r="K6219" t="s">
        <v>457</v>
      </c>
      <c r="L6219" s="1">
        <v>12.16</v>
      </c>
    </row>
    <row r="6220" spans="1:12">
      <c r="A6220" t="s">
        <v>6055</v>
      </c>
      <c r="B6220">
        <v>457865</v>
      </c>
      <c r="C6220" s="2" t="str">
        <f>"4980335"</f>
        <v>4980335</v>
      </c>
      <c r="D6220" t="s">
        <v>6291</v>
      </c>
      <c r="E6220" t="s">
        <v>4</v>
      </c>
      <c r="F6220">
        <v>6.48</v>
      </c>
      <c r="G6220">
        <v>0.54</v>
      </c>
      <c r="H6220" t="s">
        <v>106</v>
      </c>
      <c r="I6220" s="1">
        <v>15.73</v>
      </c>
      <c r="J6220" s="1">
        <v>14.94</v>
      </c>
      <c r="K6220" t="s">
        <v>457</v>
      </c>
      <c r="L6220" s="1">
        <v>16.440000000000001</v>
      </c>
    </row>
    <row r="6221" spans="1:12">
      <c r="A6221" t="s">
        <v>6055</v>
      </c>
      <c r="B6221">
        <v>457885</v>
      </c>
      <c r="C6221" s="2" t="str">
        <f>"4980410"</f>
        <v>4980410</v>
      </c>
      <c r="D6221" t="s">
        <v>6292</v>
      </c>
      <c r="E6221" t="s">
        <v>4</v>
      </c>
      <c r="F6221">
        <v>7.08</v>
      </c>
      <c r="G6221">
        <v>0.59</v>
      </c>
      <c r="H6221" t="s">
        <v>106</v>
      </c>
      <c r="I6221" s="1">
        <v>11.7</v>
      </c>
      <c r="J6221" s="1">
        <v>11.12</v>
      </c>
      <c r="K6221" t="s">
        <v>457</v>
      </c>
      <c r="L6221" s="1">
        <v>12.23</v>
      </c>
    </row>
    <row r="6222" spans="1:12">
      <c r="A6222" t="s">
        <v>6055</v>
      </c>
      <c r="B6222">
        <v>457867</v>
      </c>
      <c r="C6222" s="2" t="str">
        <f>"4980445"</f>
        <v>4980445</v>
      </c>
      <c r="D6222" t="s">
        <v>6293</v>
      </c>
      <c r="E6222" t="s">
        <v>4</v>
      </c>
      <c r="F6222">
        <v>7.08</v>
      </c>
      <c r="G6222">
        <v>0.59</v>
      </c>
      <c r="H6222" t="s">
        <v>106</v>
      </c>
      <c r="I6222" s="1">
        <v>16.84</v>
      </c>
      <c r="J6222" s="1">
        <v>15.99</v>
      </c>
      <c r="K6222" t="s">
        <v>457</v>
      </c>
      <c r="L6222" s="1">
        <v>17.59</v>
      </c>
    </row>
    <row r="6223" spans="1:12">
      <c r="A6223" t="s">
        <v>6055</v>
      </c>
      <c r="B6223">
        <v>457887</v>
      </c>
      <c r="C6223" s="2" t="str">
        <f>"4980610"</f>
        <v>4980610</v>
      </c>
      <c r="D6223" t="s">
        <v>6294</v>
      </c>
      <c r="E6223" t="s">
        <v>4</v>
      </c>
      <c r="F6223">
        <v>7.56</v>
      </c>
      <c r="G6223">
        <v>0.63</v>
      </c>
      <c r="H6223" t="s">
        <v>106</v>
      </c>
      <c r="I6223" s="1">
        <v>12.22</v>
      </c>
      <c r="J6223" s="1">
        <v>11.61</v>
      </c>
      <c r="K6223" t="s">
        <v>457</v>
      </c>
      <c r="L6223" s="1">
        <v>12.77</v>
      </c>
    </row>
    <row r="6224" spans="1:12">
      <c r="A6224" t="s">
        <v>6055</v>
      </c>
      <c r="B6224">
        <v>457868</v>
      </c>
      <c r="C6224" s="2" t="str">
        <f>"4980655"</f>
        <v>4980655</v>
      </c>
      <c r="D6224" t="s">
        <v>6295</v>
      </c>
      <c r="E6224" t="s">
        <v>4</v>
      </c>
      <c r="F6224">
        <v>7.56</v>
      </c>
      <c r="G6224">
        <v>0.63</v>
      </c>
      <c r="H6224" t="s">
        <v>106</v>
      </c>
      <c r="I6224" s="1">
        <v>17.88</v>
      </c>
      <c r="J6224" s="1">
        <v>16.98</v>
      </c>
      <c r="K6224" t="s">
        <v>457</v>
      </c>
      <c r="L6224" s="1">
        <v>18.68</v>
      </c>
    </row>
    <row r="6225" spans="1:12">
      <c r="A6225" t="s">
        <v>6055</v>
      </c>
      <c r="B6225">
        <v>457869</v>
      </c>
      <c r="C6225" s="2" t="str">
        <f>"4980865"</f>
        <v>4980865</v>
      </c>
      <c r="D6225" t="s">
        <v>6296</v>
      </c>
      <c r="E6225" t="s">
        <v>4</v>
      </c>
      <c r="F6225">
        <v>8.4</v>
      </c>
      <c r="G6225">
        <v>0.7</v>
      </c>
      <c r="H6225" t="s">
        <v>106</v>
      </c>
      <c r="I6225" s="1">
        <v>18.53</v>
      </c>
      <c r="J6225" s="1">
        <v>17.600000000000001</v>
      </c>
      <c r="K6225" t="s">
        <v>457</v>
      </c>
      <c r="L6225" s="1">
        <v>19.36</v>
      </c>
    </row>
    <row r="6226" spans="1:12">
      <c r="A6226" t="s">
        <v>6055</v>
      </c>
      <c r="B6226">
        <v>457861</v>
      </c>
      <c r="C6226" s="2" t="str">
        <f>"4981520"</f>
        <v>4981520</v>
      </c>
      <c r="D6226" t="s">
        <v>6297</v>
      </c>
      <c r="E6226" t="s">
        <v>4</v>
      </c>
      <c r="F6226">
        <v>36.72</v>
      </c>
      <c r="G6226">
        <v>3.06</v>
      </c>
      <c r="H6226" t="s">
        <v>106</v>
      </c>
      <c r="I6226" s="1">
        <v>13.07</v>
      </c>
      <c r="J6226" s="1">
        <v>12.41</v>
      </c>
      <c r="K6226" t="s">
        <v>457</v>
      </c>
      <c r="L6226" s="1">
        <v>13.65</v>
      </c>
    </row>
    <row r="6227" spans="1:12">
      <c r="A6227" t="s">
        <v>6055</v>
      </c>
      <c r="B6227">
        <v>378472</v>
      </c>
      <c r="C6227" s="2" t="str">
        <f>"501N"</f>
        <v>501N</v>
      </c>
      <c r="D6227" t="s">
        <v>6298</v>
      </c>
      <c r="E6227" t="s">
        <v>4</v>
      </c>
      <c r="F6227">
        <v>12.8</v>
      </c>
      <c r="H6227" t="s">
        <v>5</v>
      </c>
      <c r="I6227" s="1">
        <v>389.35</v>
      </c>
      <c r="J6227" s="1">
        <v>369.88</v>
      </c>
      <c r="K6227" t="s">
        <v>6</v>
      </c>
    </row>
    <row r="6228" spans="1:12">
      <c r="A6228" t="s">
        <v>6055</v>
      </c>
      <c r="B6228">
        <v>424429</v>
      </c>
      <c r="C6228" s="2" t="str">
        <f>"51008"</f>
        <v>51008</v>
      </c>
      <c r="D6228" t="s">
        <v>6299</v>
      </c>
      <c r="E6228" t="s">
        <v>4</v>
      </c>
      <c r="F6228">
        <v>3.18</v>
      </c>
      <c r="G6228">
        <v>0.53</v>
      </c>
      <c r="H6228" t="s">
        <v>20</v>
      </c>
      <c r="I6228" s="1">
        <v>16.510000000000002</v>
      </c>
      <c r="J6228" s="1">
        <v>15.68</v>
      </c>
      <c r="K6228" t="s">
        <v>457</v>
      </c>
      <c r="L6228" s="1">
        <v>17.25</v>
      </c>
    </row>
    <row r="6229" spans="1:12">
      <c r="A6229" t="s">
        <v>6055</v>
      </c>
      <c r="B6229">
        <v>398070</v>
      </c>
      <c r="C6229" s="2" t="str">
        <f>"51016"</f>
        <v>51016</v>
      </c>
      <c r="D6229" t="s">
        <v>6300</v>
      </c>
      <c r="E6229" t="s">
        <v>4</v>
      </c>
      <c r="F6229">
        <v>3.6</v>
      </c>
      <c r="G6229">
        <v>0.6</v>
      </c>
      <c r="H6229" t="s">
        <v>20</v>
      </c>
      <c r="I6229" s="1">
        <v>15.86</v>
      </c>
      <c r="J6229" s="1">
        <v>15.07</v>
      </c>
      <c r="K6229" t="s">
        <v>457</v>
      </c>
      <c r="L6229" s="1">
        <v>16.57</v>
      </c>
    </row>
    <row r="6230" spans="1:12">
      <c r="A6230" t="s">
        <v>6055</v>
      </c>
      <c r="B6230">
        <v>397638</v>
      </c>
      <c r="C6230" s="2" t="str">
        <f>"51045"</f>
        <v>51045</v>
      </c>
      <c r="D6230" t="s">
        <v>6301</v>
      </c>
      <c r="E6230" t="s">
        <v>4</v>
      </c>
      <c r="F6230">
        <v>2.52</v>
      </c>
      <c r="G6230">
        <v>0.42</v>
      </c>
      <c r="H6230" t="s">
        <v>20</v>
      </c>
      <c r="I6230" s="1">
        <v>13.52</v>
      </c>
      <c r="J6230" s="1">
        <v>12.84</v>
      </c>
      <c r="K6230" t="s">
        <v>457</v>
      </c>
      <c r="L6230" s="1">
        <v>14.13</v>
      </c>
    </row>
    <row r="6231" spans="1:12">
      <c r="A6231" t="s">
        <v>6055</v>
      </c>
      <c r="B6231">
        <v>378473</v>
      </c>
      <c r="C6231" s="2" t="str">
        <f>"511"</f>
        <v>511</v>
      </c>
      <c r="D6231" t="s">
        <v>6302</v>
      </c>
      <c r="E6231" t="s">
        <v>4</v>
      </c>
      <c r="F6231">
        <v>1</v>
      </c>
      <c r="H6231" t="s">
        <v>5</v>
      </c>
      <c r="I6231" s="1">
        <v>49.4</v>
      </c>
      <c r="J6231" s="1">
        <v>46.93</v>
      </c>
      <c r="K6231" t="s">
        <v>6</v>
      </c>
    </row>
    <row r="6232" spans="1:12">
      <c r="A6232" t="s">
        <v>6055</v>
      </c>
      <c r="B6232">
        <v>429528</v>
      </c>
      <c r="C6232" s="2" t="str">
        <f>"52009"</f>
        <v>52009</v>
      </c>
      <c r="D6232" t="s">
        <v>6303</v>
      </c>
      <c r="E6232" t="s">
        <v>4</v>
      </c>
      <c r="F6232">
        <v>0.6</v>
      </c>
      <c r="G6232">
        <v>0.1</v>
      </c>
      <c r="H6232" t="s">
        <v>20</v>
      </c>
      <c r="I6232" s="1">
        <v>1.1100000000000001</v>
      </c>
      <c r="J6232" s="1">
        <v>1.05</v>
      </c>
      <c r="K6232" t="s">
        <v>457</v>
      </c>
      <c r="L6232" s="1">
        <v>1.1499999999999999</v>
      </c>
    </row>
    <row r="6233" spans="1:12">
      <c r="A6233" t="s">
        <v>6055</v>
      </c>
      <c r="B6233">
        <v>429543</v>
      </c>
      <c r="C6233" s="2" t="str">
        <f>"52010"</f>
        <v>52010</v>
      </c>
      <c r="D6233" t="s">
        <v>6304</v>
      </c>
      <c r="E6233" t="s">
        <v>4</v>
      </c>
      <c r="F6233">
        <v>1.38</v>
      </c>
      <c r="G6233">
        <v>0.23</v>
      </c>
      <c r="H6233" t="s">
        <v>20</v>
      </c>
      <c r="I6233" s="1">
        <v>7.22</v>
      </c>
      <c r="J6233" s="1">
        <v>6.85</v>
      </c>
      <c r="K6233" t="s">
        <v>457</v>
      </c>
      <c r="L6233" s="1">
        <v>7.54</v>
      </c>
    </row>
    <row r="6234" spans="1:12">
      <c r="A6234" t="s">
        <v>6055</v>
      </c>
      <c r="B6234">
        <v>429530</v>
      </c>
      <c r="C6234" s="2" t="str">
        <f>"52013"</f>
        <v>52013</v>
      </c>
      <c r="D6234" t="s">
        <v>6305</v>
      </c>
      <c r="E6234" t="s">
        <v>4</v>
      </c>
      <c r="F6234">
        <v>1.08</v>
      </c>
      <c r="G6234">
        <v>0.18</v>
      </c>
      <c r="H6234" t="s">
        <v>20</v>
      </c>
      <c r="I6234" s="1">
        <v>2.34</v>
      </c>
      <c r="J6234" s="1">
        <v>2.2200000000000002</v>
      </c>
      <c r="K6234" t="s">
        <v>457</v>
      </c>
      <c r="L6234" s="1">
        <v>2.4500000000000002</v>
      </c>
    </row>
    <row r="6235" spans="1:12">
      <c r="A6235" t="s">
        <v>6055</v>
      </c>
      <c r="B6235">
        <v>429536</v>
      </c>
      <c r="C6235" s="2" t="str">
        <f>"52016"</f>
        <v>52016</v>
      </c>
      <c r="D6235" t="s">
        <v>6306</v>
      </c>
      <c r="E6235" t="s">
        <v>4</v>
      </c>
      <c r="F6235">
        <v>1.32</v>
      </c>
      <c r="G6235">
        <v>0.22</v>
      </c>
      <c r="H6235" t="s">
        <v>20</v>
      </c>
      <c r="I6235" s="1">
        <v>2.86</v>
      </c>
      <c r="J6235" s="1">
        <v>2.72</v>
      </c>
      <c r="K6235" t="s">
        <v>457</v>
      </c>
      <c r="L6235" s="1">
        <v>2.99</v>
      </c>
    </row>
    <row r="6236" spans="1:12">
      <c r="A6236" t="s">
        <v>6055</v>
      </c>
      <c r="B6236">
        <v>393099</v>
      </c>
      <c r="C6236" s="2" t="str">
        <f>"52023"</f>
        <v>52023</v>
      </c>
      <c r="D6236" t="s">
        <v>6307</v>
      </c>
      <c r="E6236" t="s">
        <v>4</v>
      </c>
      <c r="F6236">
        <v>2.2799999999999998</v>
      </c>
      <c r="G6236">
        <v>0.38</v>
      </c>
      <c r="H6236" t="s">
        <v>20</v>
      </c>
      <c r="I6236" s="1">
        <v>9.56</v>
      </c>
      <c r="J6236" s="1">
        <v>9.08</v>
      </c>
      <c r="K6236" t="s">
        <v>457</v>
      </c>
      <c r="L6236" s="1">
        <v>9.99</v>
      </c>
    </row>
    <row r="6237" spans="1:12">
      <c r="A6237" t="s">
        <v>6055</v>
      </c>
      <c r="B6237">
        <v>429544</v>
      </c>
      <c r="C6237" s="2" t="str">
        <f>"52026"</f>
        <v>52026</v>
      </c>
      <c r="D6237" t="s">
        <v>6308</v>
      </c>
      <c r="E6237" t="s">
        <v>4</v>
      </c>
      <c r="F6237">
        <v>2.58</v>
      </c>
      <c r="G6237">
        <v>0.43</v>
      </c>
      <c r="H6237" t="s">
        <v>20</v>
      </c>
      <c r="I6237" s="1">
        <v>12.35</v>
      </c>
      <c r="J6237" s="1">
        <v>11.73</v>
      </c>
      <c r="K6237" t="s">
        <v>457</v>
      </c>
      <c r="L6237" s="1">
        <v>12.91</v>
      </c>
    </row>
    <row r="6238" spans="1:12">
      <c r="A6238" t="s">
        <v>6055</v>
      </c>
      <c r="B6238">
        <v>368251</v>
      </c>
      <c r="C6238" s="2" t="str">
        <f>"52063"</f>
        <v>52063</v>
      </c>
      <c r="D6238" t="s">
        <v>6309</v>
      </c>
      <c r="E6238" t="s">
        <v>4</v>
      </c>
      <c r="F6238">
        <v>1.68</v>
      </c>
      <c r="H6238" t="s">
        <v>5</v>
      </c>
      <c r="I6238" s="1">
        <v>16.38</v>
      </c>
      <c r="J6238" s="1">
        <v>15.56</v>
      </c>
      <c r="K6238" t="s">
        <v>6</v>
      </c>
    </row>
    <row r="6239" spans="1:12">
      <c r="A6239" t="s">
        <v>6055</v>
      </c>
      <c r="B6239">
        <v>429539</v>
      </c>
      <c r="C6239" s="2" t="str">
        <f>"52109"</f>
        <v>52109</v>
      </c>
      <c r="D6239" t="s">
        <v>6310</v>
      </c>
      <c r="E6239" t="s">
        <v>4</v>
      </c>
      <c r="F6239">
        <v>0.66</v>
      </c>
      <c r="G6239">
        <v>0.11</v>
      </c>
      <c r="H6239" t="s">
        <v>20</v>
      </c>
      <c r="I6239" s="1">
        <v>1.89</v>
      </c>
      <c r="J6239" s="1">
        <v>1.79</v>
      </c>
      <c r="K6239" t="s">
        <v>457</v>
      </c>
      <c r="L6239" s="1">
        <v>1.97</v>
      </c>
    </row>
    <row r="6240" spans="1:12">
      <c r="A6240" t="s">
        <v>6055</v>
      </c>
      <c r="B6240">
        <v>393095</v>
      </c>
      <c r="C6240" s="2" t="str">
        <f>"52113"</f>
        <v>52113</v>
      </c>
      <c r="D6240" t="s">
        <v>6311</v>
      </c>
      <c r="E6240" t="s">
        <v>4</v>
      </c>
      <c r="F6240">
        <v>1.44</v>
      </c>
      <c r="G6240">
        <v>0.24</v>
      </c>
      <c r="H6240" t="s">
        <v>20</v>
      </c>
      <c r="I6240" s="1">
        <v>2.73</v>
      </c>
      <c r="J6240" s="1">
        <v>2.59</v>
      </c>
      <c r="K6240" t="s">
        <v>457</v>
      </c>
      <c r="L6240" s="1">
        <v>2.85</v>
      </c>
    </row>
    <row r="6241" spans="1:12">
      <c r="A6241" t="s">
        <v>6055</v>
      </c>
      <c r="B6241">
        <v>429541</v>
      </c>
      <c r="C6241" s="2" t="str">
        <f>"52116"</f>
        <v>52116</v>
      </c>
      <c r="D6241" t="s">
        <v>6312</v>
      </c>
      <c r="E6241" t="s">
        <v>4</v>
      </c>
      <c r="F6241">
        <v>1.62</v>
      </c>
      <c r="G6241">
        <v>0.27</v>
      </c>
      <c r="H6241" t="s">
        <v>20</v>
      </c>
      <c r="I6241" s="1">
        <v>3.38</v>
      </c>
      <c r="J6241" s="1">
        <v>3.21</v>
      </c>
      <c r="K6241" t="s">
        <v>457</v>
      </c>
      <c r="L6241" s="1">
        <v>3.53</v>
      </c>
    </row>
    <row r="6242" spans="1:12">
      <c r="A6242" t="s">
        <v>6055</v>
      </c>
      <c r="B6242">
        <v>378484</v>
      </c>
      <c r="C6242" s="2" t="str">
        <f>"5220"</f>
        <v>5220</v>
      </c>
      <c r="D6242" t="s">
        <v>6313</v>
      </c>
      <c r="E6242" t="s">
        <v>4</v>
      </c>
      <c r="F6242">
        <v>10.7</v>
      </c>
      <c r="H6242" t="s">
        <v>5</v>
      </c>
      <c r="I6242" s="1">
        <v>82.37</v>
      </c>
      <c r="J6242" s="1">
        <v>78.94</v>
      </c>
      <c r="K6242" t="s">
        <v>6</v>
      </c>
    </row>
    <row r="6243" spans="1:12">
      <c r="A6243" t="s">
        <v>6055</v>
      </c>
      <c r="B6243">
        <v>492490</v>
      </c>
      <c r="C6243" s="2" t="str">
        <f>"5224-13"</f>
        <v>5224-13</v>
      </c>
      <c r="D6243" t="s">
        <v>6314</v>
      </c>
      <c r="E6243" t="s">
        <v>4</v>
      </c>
      <c r="F6243">
        <v>4</v>
      </c>
      <c r="H6243" t="s">
        <v>5</v>
      </c>
      <c r="I6243" s="1">
        <v>22.62</v>
      </c>
      <c r="J6243" s="1">
        <v>21.49</v>
      </c>
      <c r="K6243" t="s">
        <v>6</v>
      </c>
    </row>
    <row r="6244" spans="1:12">
      <c r="A6244" t="s">
        <v>6055</v>
      </c>
      <c r="B6244">
        <v>412496</v>
      </c>
      <c r="C6244" s="2" t="str">
        <f>"52290"</f>
        <v>52290</v>
      </c>
      <c r="D6244" t="s">
        <v>6315</v>
      </c>
      <c r="E6244" t="s">
        <v>4</v>
      </c>
      <c r="F6244">
        <v>14.4</v>
      </c>
      <c r="H6244" t="s">
        <v>5</v>
      </c>
      <c r="I6244" s="1">
        <v>118.11</v>
      </c>
      <c r="J6244" s="1">
        <v>112.2</v>
      </c>
      <c r="K6244" t="s">
        <v>6</v>
      </c>
    </row>
    <row r="6245" spans="1:12">
      <c r="A6245" t="s">
        <v>6055</v>
      </c>
      <c r="B6245">
        <v>379781</v>
      </c>
      <c r="C6245" s="2" t="str">
        <f>"52641"</f>
        <v>52641</v>
      </c>
      <c r="D6245" t="s">
        <v>6316</v>
      </c>
      <c r="E6245" t="s">
        <v>4</v>
      </c>
      <c r="F6245">
        <v>12.8</v>
      </c>
      <c r="G6245">
        <v>3.2</v>
      </c>
      <c r="H6245" t="s">
        <v>153</v>
      </c>
      <c r="I6245" s="1">
        <v>26.07</v>
      </c>
      <c r="J6245" s="1">
        <v>24.76</v>
      </c>
      <c r="K6245" t="s">
        <v>457</v>
      </c>
      <c r="L6245" s="1">
        <v>27.24</v>
      </c>
    </row>
    <row r="6246" spans="1:12">
      <c r="A6246" t="s">
        <v>6055</v>
      </c>
      <c r="B6246">
        <v>393060</v>
      </c>
      <c r="C6246" s="2" t="str">
        <f>"52643"</f>
        <v>52643</v>
      </c>
      <c r="D6246" t="s">
        <v>6317</v>
      </c>
      <c r="E6246" t="s">
        <v>4</v>
      </c>
      <c r="F6246">
        <v>3.96</v>
      </c>
      <c r="G6246">
        <v>0.33</v>
      </c>
      <c r="H6246" t="s">
        <v>106</v>
      </c>
      <c r="I6246" s="1">
        <v>2.02</v>
      </c>
      <c r="J6246" s="1">
        <v>1.91</v>
      </c>
      <c r="K6246" t="s">
        <v>457</v>
      </c>
      <c r="L6246" s="1">
        <v>2.11</v>
      </c>
    </row>
    <row r="6247" spans="1:12">
      <c r="A6247" t="s">
        <v>6055</v>
      </c>
      <c r="B6247">
        <v>368263</v>
      </c>
      <c r="C6247" s="2" t="str">
        <f>"52644"</f>
        <v>52644</v>
      </c>
      <c r="D6247" t="s">
        <v>6318</v>
      </c>
      <c r="E6247" t="s">
        <v>4</v>
      </c>
      <c r="F6247">
        <v>4</v>
      </c>
      <c r="H6247" t="s">
        <v>5</v>
      </c>
      <c r="I6247" s="1">
        <v>38.479999999999997</v>
      </c>
      <c r="J6247" s="1">
        <v>36.56</v>
      </c>
      <c r="K6247" t="s">
        <v>6</v>
      </c>
    </row>
    <row r="6248" spans="1:12">
      <c r="A6248" t="s">
        <v>6055</v>
      </c>
      <c r="B6248">
        <v>379898</v>
      </c>
      <c r="C6248" s="2" t="str">
        <f>"5267010"</f>
        <v>5267010</v>
      </c>
      <c r="D6248" t="s">
        <v>6319</v>
      </c>
      <c r="E6248" t="s">
        <v>4</v>
      </c>
      <c r="F6248">
        <v>22.98</v>
      </c>
      <c r="G6248">
        <v>3.83</v>
      </c>
      <c r="H6248" t="s">
        <v>20</v>
      </c>
      <c r="I6248" s="1">
        <v>20.93</v>
      </c>
      <c r="J6248" s="1">
        <v>19.89</v>
      </c>
      <c r="K6248" t="s">
        <v>457</v>
      </c>
      <c r="L6248" s="1">
        <v>21.88</v>
      </c>
    </row>
    <row r="6249" spans="1:12">
      <c r="A6249" t="s">
        <v>6055</v>
      </c>
      <c r="B6249">
        <v>379902</v>
      </c>
      <c r="C6249" s="2" t="str">
        <f>"5267110"</f>
        <v>5267110</v>
      </c>
      <c r="D6249" t="s">
        <v>6320</v>
      </c>
      <c r="E6249" t="s">
        <v>4</v>
      </c>
      <c r="F6249">
        <v>25.02</v>
      </c>
      <c r="G6249">
        <v>4.17</v>
      </c>
      <c r="H6249" t="s">
        <v>20</v>
      </c>
      <c r="I6249" s="1">
        <v>20.93</v>
      </c>
      <c r="J6249" s="1">
        <v>19.89</v>
      </c>
      <c r="K6249" t="s">
        <v>457</v>
      </c>
      <c r="L6249" s="1">
        <v>21.88</v>
      </c>
    </row>
    <row r="6250" spans="1:12">
      <c r="A6250" t="s">
        <v>6055</v>
      </c>
      <c r="B6250">
        <v>379905</v>
      </c>
      <c r="C6250" s="2" t="str">
        <f>"5267210"</f>
        <v>5267210</v>
      </c>
      <c r="D6250" t="s">
        <v>6321</v>
      </c>
      <c r="E6250" t="s">
        <v>4</v>
      </c>
      <c r="F6250">
        <v>27</v>
      </c>
      <c r="G6250">
        <v>4.5</v>
      </c>
      <c r="H6250" t="s">
        <v>20</v>
      </c>
      <c r="I6250" s="1">
        <v>20.93</v>
      </c>
      <c r="J6250" s="1">
        <v>19.89</v>
      </c>
      <c r="K6250" t="s">
        <v>457</v>
      </c>
      <c r="L6250" s="1">
        <v>21.88</v>
      </c>
    </row>
    <row r="6251" spans="1:12">
      <c r="A6251" t="s">
        <v>6055</v>
      </c>
      <c r="B6251">
        <v>379910</v>
      </c>
      <c r="C6251" s="2" t="str">
        <f>"5267510"</f>
        <v>5267510</v>
      </c>
      <c r="D6251" t="s">
        <v>6322</v>
      </c>
      <c r="E6251" t="s">
        <v>4</v>
      </c>
      <c r="F6251">
        <v>29.1</v>
      </c>
      <c r="G6251">
        <v>4.8499999999999996</v>
      </c>
      <c r="H6251" t="s">
        <v>20</v>
      </c>
      <c r="I6251" s="1">
        <v>20.93</v>
      </c>
      <c r="J6251" s="1">
        <v>19.89</v>
      </c>
      <c r="K6251" t="s">
        <v>457</v>
      </c>
      <c r="L6251" s="1">
        <v>21.88</v>
      </c>
    </row>
    <row r="6252" spans="1:12">
      <c r="A6252" t="s">
        <v>6055</v>
      </c>
      <c r="B6252">
        <v>379912</v>
      </c>
      <c r="C6252" s="2" t="str">
        <f>"5267611"</f>
        <v>5267611</v>
      </c>
      <c r="D6252" t="s">
        <v>6323</v>
      </c>
      <c r="E6252" t="s">
        <v>4</v>
      </c>
      <c r="F6252">
        <v>22.8</v>
      </c>
      <c r="G6252">
        <v>5.7</v>
      </c>
      <c r="H6252" t="s">
        <v>153</v>
      </c>
      <c r="I6252" s="1">
        <v>28.93</v>
      </c>
      <c r="J6252" s="1">
        <v>27.48</v>
      </c>
      <c r="K6252" t="s">
        <v>457</v>
      </c>
      <c r="L6252" s="1">
        <v>30.23</v>
      </c>
    </row>
    <row r="6253" spans="1:12">
      <c r="A6253" t="s">
        <v>6055</v>
      </c>
      <c r="B6253">
        <v>379913</v>
      </c>
      <c r="C6253" s="2" t="str">
        <f>"5267711"</f>
        <v>5267711</v>
      </c>
      <c r="D6253" t="s">
        <v>6324</v>
      </c>
      <c r="E6253" t="s">
        <v>4</v>
      </c>
      <c r="F6253">
        <v>24.2</v>
      </c>
      <c r="G6253">
        <v>6.05</v>
      </c>
      <c r="H6253" t="s">
        <v>153</v>
      </c>
      <c r="I6253" s="1">
        <v>28.93</v>
      </c>
      <c r="J6253" s="1">
        <v>27.48</v>
      </c>
      <c r="K6253" t="s">
        <v>457</v>
      </c>
      <c r="L6253" s="1">
        <v>30.23</v>
      </c>
    </row>
    <row r="6254" spans="1:12">
      <c r="A6254" t="s">
        <v>6055</v>
      </c>
      <c r="B6254">
        <v>379966</v>
      </c>
      <c r="C6254" s="2" t="str">
        <f>"5269510"</f>
        <v>5269510</v>
      </c>
      <c r="D6254" t="s">
        <v>6325</v>
      </c>
      <c r="E6254" t="s">
        <v>4</v>
      </c>
      <c r="F6254">
        <v>25.2</v>
      </c>
      <c r="G6254">
        <v>5.04</v>
      </c>
      <c r="H6254" t="s">
        <v>151</v>
      </c>
      <c r="I6254" s="1">
        <v>21.78</v>
      </c>
      <c r="J6254" s="1">
        <v>20.68</v>
      </c>
      <c r="K6254" t="s">
        <v>457</v>
      </c>
      <c r="L6254" s="1">
        <v>22.75</v>
      </c>
    </row>
    <row r="6255" spans="1:12">
      <c r="A6255" t="s">
        <v>6055</v>
      </c>
      <c r="B6255">
        <v>379967</v>
      </c>
      <c r="C6255" s="2" t="str">
        <f>"5271211"</f>
        <v>5271211</v>
      </c>
      <c r="D6255" t="s">
        <v>6326</v>
      </c>
      <c r="E6255" t="s">
        <v>4</v>
      </c>
      <c r="F6255">
        <v>24.75</v>
      </c>
      <c r="G6255">
        <v>8.25</v>
      </c>
      <c r="H6255" t="s">
        <v>189</v>
      </c>
      <c r="I6255" s="1">
        <v>54.73</v>
      </c>
      <c r="J6255" s="1">
        <v>52</v>
      </c>
      <c r="K6255" t="s">
        <v>457</v>
      </c>
      <c r="L6255" s="1">
        <v>57.2</v>
      </c>
    </row>
    <row r="6256" spans="1:12">
      <c r="A6256" t="s">
        <v>6055</v>
      </c>
      <c r="B6256">
        <v>379968</v>
      </c>
      <c r="C6256" s="2" t="str">
        <f>"5271511"</f>
        <v>5271511</v>
      </c>
      <c r="D6256" t="s">
        <v>6327</v>
      </c>
      <c r="E6256" t="s">
        <v>4</v>
      </c>
      <c r="F6256">
        <v>23.01</v>
      </c>
      <c r="G6256">
        <v>7.67</v>
      </c>
      <c r="H6256" t="s">
        <v>189</v>
      </c>
      <c r="I6256" s="1">
        <v>45.89</v>
      </c>
      <c r="J6256" s="1">
        <v>43.6</v>
      </c>
      <c r="K6256" t="s">
        <v>457</v>
      </c>
      <c r="L6256" s="1">
        <v>47.96</v>
      </c>
    </row>
    <row r="6257" spans="1:12">
      <c r="A6257" t="s">
        <v>6055</v>
      </c>
      <c r="B6257">
        <v>397863</v>
      </c>
      <c r="C6257" s="2" t="str">
        <f>"5280"</f>
        <v>5280</v>
      </c>
      <c r="D6257" t="s">
        <v>6328</v>
      </c>
      <c r="E6257" t="s">
        <v>4</v>
      </c>
      <c r="F6257">
        <v>2.4</v>
      </c>
      <c r="G6257">
        <v>0.4</v>
      </c>
      <c r="H6257" t="s">
        <v>20</v>
      </c>
      <c r="I6257" s="1">
        <v>12.61</v>
      </c>
      <c r="J6257" s="1">
        <v>11.98</v>
      </c>
      <c r="K6257" t="s">
        <v>457</v>
      </c>
      <c r="L6257" s="1">
        <v>13.18</v>
      </c>
    </row>
    <row r="6258" spans="1:12">
      <c r="A6258" t="s">
        <v>6055</v>
      </c>
      <c r="B6258">
        <v>380848</v>
      </c>
      <c r="C6258" s="2" t="str">
        <f>"529-13"</f>
        <v>529-13</v>
      </c>
      <c r="D6258" t="s">
        <v>6329</v>
      </c>
      <c r="E6258" t="s">
        <v>4</v>
      </c>
      <c r="F6258">
        <v>1</v>
      </c>
      <c r="H6258" t="s">
        <v>5</v>
      </c>
      <c r="I6258" s="1">
        <v>10.92</v>
      </c>
      <c r="J6258" s="1">
        <v>10.37</v>
      </c>
      <c r="K6258" t="s">
        <v>6</v>
      </c>
    </row>
    <row r="6259" spans="1:12">
      <c r="A6259" t="s">
        <v>6055</v>
      </c>
      <c r="B6259">
        <v>369600</v>
      </c>
      <c r="C6259" s="2" t="str">
        <f>"5303"</f>
        <v>5303</v>
      </c>
      <c r="D6259" t="s">
        <v>6330</v>
      </c>
      <c r="E6259" t="s">
        <v>4</v>
      </c>
      <c r="F6259">
        <v>26.5</v>
      </c>
      <c r="H6259" t="s">
        <v>5</v>
      </c>
      <c r="I6259" s="1">
        <v>99.59</v>
      </c>
      <c r="J6259" s="1">
        <v>95.44</v>
      </c>
      <c r="K6259" t="s">
        <v>6</v>
      </c>
    </row>
    <row r="6260" spans="1:12">
      <c r="A6260" t="s">
        <v>6055</v>
      </c>
      <c r="B6260">
        <v>398315</v>
      </c>
      <c r="C6260" s="2" t="str">
        <f>"5330"</f>
        <v>5330</v>
      </c>
      <c r="D6260" t="s">
        <v>6331</v>
      </c>
      <c r="E6260" t="s">
        <v>4</v>
      </c>
      <c r="F6260">
        <v>2.61</v>
      </c>
      <c r="G6260">
        <v>0.87</v>
      </c>
      <c r="H6260" t="s">
        <v>189</v>
      </c>
      <c r="I6260" s="1">
        <v>51.81</v>
      </c>
      <c r="J6260" s="1">
        <v>49.21</v>
      </c>
      <c r="K6260" t="s">
        <v>457</v>
      </c>
      <c r="L6260" s="1">
        <v>54.14</v>
      </c>
    </row>
    <row r="6261" spans="1:12">
      <c r="A6261" t="s">
        <v>6055</v>
      </c>
      <c r="B6261">
        <v>397866</v>
      </c>
      <c r="C6261" s="2" t="str">
        <f>"5435"</f>
        <v>5435</v>
      </c>
      <c r="D6261" t="s">
        <v>6332</v>
      </c>
      <c r="E6261" t="s">
        <v>4</v>
      </c>
      <c r="F6261">
        <v>7.92</v>
      </c>
      <c r="G6261">
        <v>1.32</v>
      </c>
      <c r="H6261" t="s">
        <v>20</v>
      </c>
      <c r="I6261" s="1">
        <v>31.07</v>
      </c>
      <c r="J6261" s="1">
        <v>29.52</v>
      </c>
      <c r="K6261" t="s">
        <v>457</v>
      </c>
      <c r="L6261" s="1">
        <v>32.47</v>
      </c>
    </row>
    <row r="6262" spans="1:12">
      <c r="A6262" t="s">
        <v>6055</v>
      </c>
      <c r="B6262">
        <v>370677</v>
      </c>
      <c r="C6262" s="2" t="str">
        <f>"56507"</f>
        <v>56507</v>
      </c>
      <c r="D6262" t="s">
        <v>6333</v>
      </c>
      <c r="E6262" t="s">
        <v>4</v>
      </c>
      <c r="F6262">
        <v>2.8</v>
      </c>
      <c r="H6262" t="s">
        <v>5</v>
      </c>
      <c r="I6262" s="1">
        <v>39.39</v>
      </c>
      <c r="J6262" s="1">
        <v>37.43</v>
      </c>
      <c r="K6262" t="s">
        <v>6</v>
      </c>
    </row>
    <row r="6263" spans="1:12">
      <c r="A6263" t="s">
        <v>6055</v>
      </c>
      <c r="B6263">
        <v>368875</v>
      </c>
      <c r="C6263" s="2" t="str">
        <f>"566445"</f>
        <v>566445</v>
      </c>
      <c r="D6263" t="s">
        <v>6334</v>
      </c>
      <c r="E6263" t="s">
        <v>4</v>
      </c>
      <c r="F6263">
        <v>1.1000000000000001</v>
      </c>
      <c r="H6263" t="s">
        <v>5</v>
      </c>
      <c r="I6263" s="1">
        <v>2.8</v>
      </c>
      <c r="J6263" s="1">
        <v>2.66</v>
      </c>
      <c r="K6263" t="s">
        <v>6</v>
      </c>
    </row>
    <row r="6264" spans="1:12">
      <c r="A6264" t="s">
        <v>6055</v>
      </c>
      <c r="B6264">
        <v>381762</v>
      </c>
      <c r="C6264" s="2" t="str">
        <f>"58011"</f>
        <v>58011</v>
      </c>
      <c r="D6264" t="s">
        <v>6335</v>
      </c>
      <c r="E6264" t="s">
        <v>4</v>
      </c>
      <c r="F6264">
        <v>2.16</v>
      </c>
      <c r="G6264">
        <v>0.18</v>
      </c>
      <c r="H6264" t="s">
        <v>106</v>
      </c>
      <c r="I6264" s="1">
        <v>11.31</v>
      </c>
      <c r="J6264" s="1">
        <v>10.74</v>
      </c>
      <c r="K6264" t="s">
        <v>457</v>
      </c>
      <c r="L6264" s="1">
        <v>11.82</v>
      </c>
    </row>
    <row r="6265" spans="1:12">
      <c r="A6265" t="s">
        <v>6055</v>
      </c>
      <c r="B6265">
        <v>379783</v>
      </c>
      <c r="C6265" s="2" t="str">
        <f>"58022"</f>
        <v>58022</v>
      </c>
      <c r="D6265" t="s">
        <v>6336</v>
      </c>
      <c r="E6265" t="s">
        <v>4</v>
      </c>
      <c r="F6265">
        <v>2.16</v>
      </c>
      <c r="G6265">
        <v>0.18</v>
      </c>
      <c r="H6265" t="s">
        <v>106</v>
      </c>
      <c r="I6265" s="1">
        <v>12.35</v>
      </c>
      <c r="J6265" s="1">
        <v>11.73</v>
      </c>
      <c r="K6265" t="s">
        <v>457</v>
      </c>
      <c r="L6265" s="1">
        <v>12.91</v>
      </c>
    </row>
    <row r="6266" spans="1:12">
      <c r="A6266" t="s">
        <v>6055</v>
      </c>
      <c r="B6266">
        <v>381763</v>
      </c>
      <c r="C6266" s="2" t="str">
        <f>"58033"</f>
        <v>58033</v>
      </c>
      <c r="D6266" t="s">
        <v>6337</v>
      </c>
      <c r="E6266" t="s">
        <v>4</v>
      </c>
      <c r="F6266">
        <v>4.4400000000000004</v>
      </c>
      <c r="G6266">
        <v>0.37</v>
      </c>
      <c r="H6266" t="s">
        <v>106</v>
      </c>
      <c r="I6266" s="1">
        <v>14.37</v>
      </c>
      <c r="J6266" s="1">
        <v>13.65</v>
      </c>
      <c r="K6266" t="s">
        <v>457</v>
      </c>
      <c r="L6266" s="1">
        <v>15.01</v>
      </c>
    </row>
    <row r="6267" spans="1:12">
      <c r="A6267" t="s">
        <v>6055</v>
      </c>
      <c r="B6267">
        <v>379789</v>
      </c>
      <c r="C6267" s="2" t="str">
        <f>"58044"</f>
        <v>58044</v>
      </c>
      <c r="D6267" t="s">
        <v>6338</v>
      </c>
      <c r="E6267" t="s">
        <v>4</v>
      </c>
      <c r="F6267">
        <v>4.92</v>
      </c>
      <c r="G6267">
        <v>0.41</v>
      </c>
      <c r="H6267" t="s">
        <v>106</v>
      </c>
      <c r="I6267" s="1">
        <v>15.6</v>
      </c>
      <c r="J6267" s="1">
        <v>14.82</v>
      </c>
      <c r="K6267" t="s">
        <v>457</v>
      </c>
      <c r="L6267" s="1">
        <v>16.3</v>
      </c>
    </row>
    <row r="6268" spans="1:12">
      <c r="A6268" t="s">
        <v>6055</v>
      </c>
      <c r="B6268">
        <v>381764</v>
      </c>
      <c r="C6268" s="2" t="str">
        <f>"58055"</f>
        <v>58055</v>
      </c>
      <c r="D6268" t="s">
        <v>6339</v>
      </c>
      <c r="E6268" t="s">
        <v>4</v>
      </c>
      <c r="F6268">
        <v>5.28</v>
      </c>
      <c r="G6268">
        <v>0.44</v>
      </c>
      <c r="H6268" t="s">
        <v>106</v>
      </c>
      <c r="I6268" s="1">
        <v>16.510000000000002</v>
      </c>
      <c r="J6268" s="1">
        <v>15.68</v>
      </c>
      <c r="K6268" t="s">
        <v>457</v>
      </c>
      <c r="L6268" s="1">
        <v>17.25</v>
      </c>
    </row>
    <row r="6269" spans="1:12">
      <c r="A6269" t="s">
        <v>6055</v>
      </c>
      <c r="B6269">
        <v>381765</v>
      </c>
      <c r="C6269" s="2" t="str">
        <f>"58066"</f>
        <v>58066</v>
      </c>
      <c r="D6269" t="s">
        <v>6340</v>
      </c>
      <c r="E6269" t="s">
        <v>4</v>
      </c>
      <c r="F6269">
        <v>5.88</v>
      </c>
      <c r="G6269">
        <v>0.49</v>
      </c>
      <c r="H6269" t="s">
        <v>106</v>
      </c>
      <c r="I6269" s="1">
        <v>16.77</v>
      </c>
      <c r="J6269" s="1">
        <v>15.93</v>
      </c>
      <c r="K6269" t="s">
        <v>457</v>
      </c>
      <c r="L6269" s="1">
        <v>17.52</v>
      </c>
    </row>
    <row r="6270" spans="1:12">
      <c r="A6270" t="s">
        <v>6055</v>
      </c>
      <c r="B6270">
        <v>429545</v>
      </c>
      <c r="C6270" s="2" t="str">
        <f>"58110"</f>
        <v>58110</v>
      </c>
      <c r="D6270" t="s">
        <v>6341</v>
      </c>
      <c r="E6270" t="s">
        <v>4</v>
      </c>
      <c r="F6270">
        <v>1.44</v>
      </c>
      <c r="G6270">
        <v>0.24</v>
      </c>
      <c r="H6270" t="s">
        <v>20</v>
      </c>
      <c r="I6270" s="1">
        <v>7.67</v>
      </c>
      <c r="J6270" s="1">
        <v>7.29</v>
      </c>
      <c r="K6270" t="s">
        <v>457</v>
      </c>
      <c r="L6270" s="1">
        <v>8.02</v>
      </c>
    </row>
    <row r="6271" spans="1:12">
      <c r="A6271" t="s">
        <v>6055</v>
      </c>
      <c r="B6271">
        <v>429548</v>
      </c>
      <c r="C6271" s="2" t="str">
        <f>"58123"</f>
        <v>58123</v>
      </c>
      <c r="D6271" t="s">
        <v>6342</v>
      </c>
      <c r="E6271" t="s">
        <v>4</v>
      </c>
      <c r="F6271">
        <v>2.4</v>
      </c>
      <c r="G6271">
        <v>0.4</v>
      </c>
      <c r="H6271" t="s">
        <v>20</v>
      </c>
      <c r="I6271" s="1">
        <v>10.27</v>
      </c>
      <c r="J6271" s="1">
        <v>9.76</v>
      </c>
      <c r="K6271" t="s">
        <v>457</v>
      </c>
      <c r="L6271" s="1">
        <v>10.73</v>
      </c>
    </row>
    <row r="6272" spans="1:12">
      <c r="A6272" t="s">
        <v>6055</v>
      </c>
      <c r="B6272">
        <v>429551</v>
      </c>
      <c r="C6272" s="2" t="str">
        <f>"58126"</f>
        <v>58126</v>
      </c>
      <c r="D6272" t="s">
        <v>6343</v>
      </c>
      <c r="E6272" t="s">
        <v>4</v>
      </c>
      <c r="F6272">
        <v>2.58</v>
      </c>
      <c r="G6272">
        <v>0.43</v>
      </c>
      <c r="H6272" t="s">
        <v>20</v>
      </c>
      <c r="I6272" s="1">
        <v>13.2</v>
      </c>
      <c r="J6272" s="1">
        <v>12.54</v>
      </c>
      <c r="K6272" t="s">
        <v>457</v>
      </c>
      <c r="L6272" s="1">
        <v>13.79</v>
      </c>
    </row>
    <row r="6273" spans="1:12">
      <c r="A6273" t="s">
        <v>6055</v>
      </c>
      <c r="B6273">
        <v>381766</v>
      </c>
      <c r="C6273" s="2" t="str">
        <f>"58322"</f>
        <v>58322</v>
      </c>
      <c r="D6273" t="s">
        <v>6344</v>
      </c>
      <c r="E6273" t="s">
        <v>4</v>
      </c>
      <c r="F6273">
        <v>2.16</v>
      </c>
      <c r="G6273">
        <v>0.18</v>
      </c>
      <c r="H6273" t="s">
        <v>106</v>
      </c>
      <c r="I6273" s="1">
        <v>12.35</v>
      </c>
      <c r="J6273" s="1">
        <v>11.73</v>
      </c>
      <c r="K6273" t="s">
        <v>457</v>
      </c>
      <c r="L6273" s="1">
        <v>12.91</v>
      </c>
    </row>
    <row r="6274" spans="1:12">
      <c r="A6274" t="s">
        <v>6055</v>
      </c>
      <c r="B6274">
        <v>381768</v>
      </c>
      <c r="C6274" s="2" t="str">
        <f>"58355"</f>
        <v>58355</v>
      </c>
      <c r="D6274" t="s">
        <v>6345</v>
      </c>
      <c r="E6274" t="s">
        <v>4</v>
      </c>
      <c r="F6274">
        <v>5.28</v>
      </c>
      <c r="G6274">
        <v>0.44</v>
      </c>
      <c r="H6274" t="s">
        <v>106</v>
      </c>
      <c r="I6274" s="1">
        <v>16.510000000000002</v>
      </c>
      <c r="J6274" s="1">
        <v>15.68</v>
      </c>
      <c r="K6274" t="s">
        <v>457</v>
      </c>
      <c r="L6274" s="1">
        <v>17.25</v>
      </c>
    </row>
    <row r="6275" spans="1:12">
      <c r="A6275" t="s">
        <v>6055</v>
      </c>
      <c r="B6275">
        <v>428563</v>
      </c>
      <c r="C6275" s="2" t="str">
        <f>"6010-13"</f>
        <v>6010-13</v>
      </c>
      <c r="D6275" t="s">
        <v>6346</v>
      </c>
      <c r="E6275" t="s">
        <v>4</v>
      </c>
      <c r="F6275">
        <v>13</v>
      </c>
      <c r="H6275" t="s">
        <v>5</v>
      </c>
      <c r="I6275" s="1">
        <v>124.02</v>
      </c>
      <c r="J6275" s="1">
        <v>117.82</v>
      </c>
      <c r="K6275" t="s">
        <v>6</v>
      </c>
    </row>
    <row r="6276" spans="1:12">
      <c r="A6276" t="s">
        <v>6055</v>
      </c>
      <c r="B6276">
        <v>380849</v>
      </c>
      <c r="C6276" s="2" t="str">
        <f>"602-12"</f>
        <v>602-12</v>
      </c>
      <c r="D6276" t="s">
        <v>6347</v>
      </c>
      <c r="E6276" t="s">
        <v>4</v>
      </c>
      <c r="F6276">
        <v>3</v>
      </c>
      <c r="H6276" t="s">
        <v>5</v>
      </c>
      <c r="I6276" s="1">
        <v>31.98</v>
      </c>
      <c r="J6276" s="1">
        <v>30.38</v>
      </c>
      <c r="K6276" t="s">
        <v>6</v>
      </c>
    </row>
    <row r="6277" spans="1:12">
      <c r="A6277" t="s">
        <v>6055</v>
      </c>
      <c r="B6277">
        <v>376679</v>
      </c>
      <c r="C6277" s="2" t="str">
        <f>"606N"</f>
        <v>606N</v>
      </c>
      <c r="D6277" t="s">
        <v>6348</v>
      </c>
      <c r="E6277" t="s">
        <v>4</v>
      </c>
      <c r="F6277">
        <v>5.38</v>
      </c>
      <c r="H6277" t="s">
        <v>5</v>
      </c>
      <c r="I6277" s="1">
        <v>175.5</v>
      </c>
      <c r="J6277" s="1">
        <v>166.73</v>
      </c>
      <c r="K6277" t="s">
        <v>6</v>
      </c>
    </row>
    <row r="6278" spans="1:12">
      <c r="A6278" t="s">
        <v>6055</v>
      </c>
      <c r="B6278">
        <v>379801</v>
      </c>
      <c r="C6278" s="2" t="str">
        <f>"61155"</f>
        <v>61155</v>
      </c>
      <c r="D6278" t="s">
        <v>6349</v>
      </c>
      <c r="E6278" t="s">
        <v>4</v>
      </c>
      <c r="F6278">
        <v>3.36</v>
      </c>
      <c r="G6278">
        <v>0.28000000000000003</v>
      </c>
      <c r="H6278" t="s">
        <v>106</v>
      </c>
      <c r="I6278" s="1">
        <v>9.3000000000000007</v>
      </c>
      <c r="J6278" s="1">
        <v>8.83</v>
      </c>
      <c r="K6278" t="s">
        <v>457</v>
      </c>
      <c r="L6278" s="1">
        <v>9.7100000000000009</v>
      </c>
    </row>
    <row r="6279" spans="1:12">
      <c r="A6279" t="s">
        <v>6055</v>
      </c>
      <c r="B6279">
        <v>379804</v>
      </c>
      <c r="C6279" s="2" t="str">
        <f>"61157"</f>
        <v>61157</v>
      </c>
      <c r="D6279" t="s">
        <v>6350</v>
      </c>
      <c r="E6279" t="s">
        <v>4</v>
      </c>
      <c r="F6279">
        <v>3.24</v>
      </c>
      <c r="G6279">
        <v>0.27</v>
      </c>
      <c r="H6279" t="s">
        <v>106</v>
      </c>
      <c r="I6279" s="1">
        <v>9.3000000000000007</v>
      </c>
      <c r="J6279" s="1">
        <v>8.83</v>
      </c>
      <c r="K6279" t="s">
        <v>457</v>
      </c>
      <c r="L6279" s="1">
        <v>9.7100000000000009</v>
      </c>
    </row>
    <row r="6280" spans="1:12">
      <c r="A6280" t="s">
        <v>6055</v>
      </c>
      <c r="B6280">
        <v>400246</v>
      </c>
      <c r="C6280" s="2" t="str">
        <f>"61165"</f>
        <v>61165</v>
      </c>
      <c r="D6280" t="s">
        <v>6351</v>
      </c>
      <c r="E6280" t="s">
        <v>4</v>
      </c>
      <c r="F6280">
        <v>3.48</v>
      </c>
      <c r="G6280">
        <v>0.28999999999999998</v>
      </c>
      <c r="H6280" t="s">
        <v>106</v>
      </c>
      <c r="I6280" s="1">
        <v>9.3000000000000007</v>
      </c>
      <c r="J6280" s="1">
        <v>8.83</v>
      </c>
      <c r="K6280" t="s">
        <v>457</v>
      </c>
      <c r="L6280" s="1">
        <v>9.7100000000000009</v>
      </c>
    </row>
    <row r="6281" spans="1:12">
      <c r="A6281" t="s">
        <v>6055</v>
      </c>
      <c r="B6281">
        <v>400244</v>
      </c>
      <c r="C6281" s="2" t="str">
        <f>"61167"</f>
        <v>61167</v>
      </c>
      <c r="D6281" t="s">
        <v>6352</v>
      </c>
      <c r="E6281" t="s">
        <v>4</v>
      </c>
      <c r="F6281">
        <v>3.48</v>
      </c>
      <c r="G6281">
        <v>0.28999999999999998</v>
      </c>
      <c r="H6281" t="s">
        <v>106</v>
      </c>
      <c r="I6281" s="1">
        <v>9.3000000000000007</v>
      </c>
      <c r="J6281" s="1">
        <v>8.83</v>
      </c>
      <c r="K6281" t="s">
        <v>457</v>
      </c>
      <c r="L6281" s="1">
        <v>9.7100000000000009</v>
      </c>
    </row>
    <row r="6282" spans="1:12">
      <c r="A6282" t="s">
        <v>6055</v>
      </c>
      <c r="B6282">
        <v>379809</v>
      </c>
      <c r="C6282" s="2" t="str">
        <f>"61170"</f>
        <v>61170</v>
      </c>
      <c r="D6282" t="s">
        <v>6353</v>
      </c>
      <c r="E6282" t="s">
        <v>4</v>
      </c>
      <c r="F6282">
        <v>3.84</v>
      </c>
      <c r="G6282">
        <v>0.32</v>
      </c>
      <c r="H6282" t="s">
        <v>106</v>
      </c>
      <c r="I6282" s="1">
        <v>9.3000000000000007</v>
      </c>
      <c r="J6282" s="1">
        <v>8.83</v>
      </c>
      <c r="K6282" t="s">
        <v>457</v>
      </c>
      <c r="L6282" s="1">
        <v>9.7100000000000009</v>
      </c>
    </row>
    <row r="6283" spans="1:12">
      <c r="A6283" t="s">
        <v>6055</v>
      </c>
      <c r="B6283">
        <v>379811</v>
      </c>
      <c r="C6283" s="2" t="str">
        <f>"61172"</f>
        <v>61172</v>
      </c>
      <c r="D6283" t="s">
        <v>6354</v>
      </c>
      <c r="E6283" t="s">
        <v>4</v>
      </c>
      <c r="F6283">
        <v>3.72</v>
      </c>
      <c r="G6283">
        <v>0.31</v>
      </c>
      <c r="H6283" t="s">
        <v>106</v>
      </c>
      <c r="I6283" s="1">
        <v>9.3000000000000007</v>
      </c>
      <c r="J6283" s="1">
        <v>8.83</v>
      </c>
      <c r="K6283" t="s">
        <v>457</v>
      </c>
      <c r="L6283" s="1">
        <v>9.7100000000000009</v>
      </c>
    </row>
    <row r="6284" spans="1:12">
      <c r="A6284" t="s">
        <v>6055</v>
      </c>
      <c r="B6284">
        <v>379814</v>
      </c>
      <c r="C6284" s="2" t="str">
        <f>"61175"</f>
        <v>61175</v>
      </c>
      <c r="D6284" t="s">
        <v>6355</v>
      </c>
      <c r="E6284" t="s">
        <v>4</v>
      </c>
      <c r="F6284">
        <v>4.5599999999999996</v>
      </c>
      <c r="G6284">
        <v>0.38</v>
      </c>
      <c r="H6284" t="s">
        <v>106</v>
      </c>
      <c r="I6284" s="1">
        <v>9.8800000000000008</v>
      </c>
      <c r="J6284" s="1">
        <v>9.39</v>
      </c>
      <c r="K6284" t="s">
        <v>457</v>
      </c>
      <c r="L6284" s="1">
        <v>10.32</v>
      </c>
    </row>
    <row r="6285" spans="1:12">
      <c r="A6285" t="s">
        <v>6055</v>
      </c>
      <c r="B6285">
        <v>379815</v>
      </c>
      <c r="C6285" s="2" t="str">
        <f>"61177"</f>
        <v>61177</v>
      </c>
      <c r="D6285" t="s">
        <v>6356</v>
      </c>
      <c r="E6285" t="s">
        <v>4</v>
      </c>
      <c r="F6285">
        <v>4.4400000000000004</v>
      </c>
      <c r="G6285">
        <v>0.37</v>
      </c>
      <c r="H6285" t="s">
        <v>106</v>
      </c>
      <c r="I6285" s="1">
        <v>9.8800000000000008</v>
      </c>
      <c r="J6285" s="1">
        <v>9.39</v>
      </c>
      <c r="K6285" t="s">
        <v>457</v>
      </c>
      <c r="L6285" s="1">
        <v>10.32</v>
      </c>
    </row>
    <row r="6286" spans="1:12">
      <c r="A6286" t="s">
        <v>6055</v>
      </c>
      <c r="B6286">
        <v>379816</v>
      </c>
      <c r="C6286" s="2" t="str">
        <f>"61180"</f>
        <v>61180</v>
      </c>
      <c r="D6286" t="s">
        <v>6357</v>
      </c>
      <c r="E6286" t="s">
        <v>4</v>
      </c>
      <c r="F6286">
        <v>5.16</v>
      </c>
      <c r="G6286">
        <v>0.43</v>
      </c>
      <c r="H6286" t="s">
        <v>106</v>
      </c>
      <c r="I6286" s="1">
        <v>9.8800000000000008</v>
      </c>
      <c r="J6286" s="1">
        <v>9.39</v>
      </c>
      <c r="K6286" t="s">
        <v>457</v>
      </c>
      <c r="L6286" s="1">
        <v>10.32</v>
      </c>
    </row>
    <row r="6287" spans="1:12">
      <c r="A6287" t="s">
        <v>6055</v>
      </c>
      <c r="B6287">
        <v>493180</v>
      </c>
      <c r="C6287" s="2" t="str">
        <f>"61182"</f>
        <v>61182</v>
      </c>
      <c r="D6287" t="s">
        <v>6358</v>
      </c>
      <c r="E6287" t="s">
        <v>4</v>
      </c>
      <c r="F6287">
        <v>4.8</v>
      </c>
      <c r="G6287">
        <v>0.4</v>
      </c>
      <c r="H6287" t="s">
        <v>106</v>
      </c>
      <c r="I6287" s="1">
        <v>9.8800000000000008</v>
      </c>
      <c r="J6287" s="1">
        <v>9.39</v>
      </c>
      <c r="K6287" t="s">
        <v>21</v>
      </c>
      <c r="L6287" s="1">
        <v>10.32</v>
      </c>
    </row>
    <row r="6288" spans="1:12">
      <c r="A6288" t="s">
        <v>6055</v>
      </c>
      <c r="B6288">
        <v>379819</v>
      </c>
      <c r="C6288" s="2" t="str">
        <f>"62170"</f>
        <v>62170</v>
      </c>
      <c r="D6288" t="s">
        <v>6359</v>
      </c>
      <c r="E6288" t="s">
        <v>4</v>
      </c>
      <c r="F6288">
        <v>3.84</v>
      </c>
      <c r="G6288">
        <v>0.32</v>
      </c>
      <c r="H6288" t="s">
        <v>106</v>
      </c>
      <c r="I6288" s="1">
        <v>9.3000000000000007</v>
      </c>
      <c r="J6288" s="1">
        <v>8.83</v>
      </c>
      <c r="K6288" t="s">
        <v>457</v>
      </c>
      <c r="L6288" s="1">
        <v>9.7100000000000009</v>
      </c>
    </row>
    <row r="6289" spans="1:12">
      <c r="A6289" t="s">
        <v>6055</v>
      </c>
      <c r="B6289">
        <v>379822</v>
      </c>
      <c r="C6289" s="2" t="str">
        <f>"62172"</f>
        <v>62172</v>
      </c>
      <c r="D6289" t="s">
        <v>6360</v>
      </c>
      <c r="E6289" t="s">
        <v>4</v>
      </c>
      <c r="F6289">
        <v>3.72</v>
      </c>
      <c r="G6289">
        <v>0.31</v>
      </c>
      <c r="H6289" t="s">
        <v>106</v>
      </c>
      <c r="I6289" s="1">
        <v>9.3000000000000007</v>
      </c>
      <c r="J6289" s="1">
        <v>8.83</v>
      </c>
      <c r="K6289" t="s">
        <v>457</v>
      </c>
      <c r="L6289" s="1">
        <v>9.7100000000000009</v>
      </c>
    </row>
    <row r="6290" spans="1:12">
      <c r="A6290" t="s">
        <v>6055</v>
      </c>
      <c r="B6290">
        <v>379824</v>
      </c>
      <c r="C6290" s="2" t="str">
        <f>"62175"</f>
        <v>62175</v>
      </c>
      <c r="D6290" t="s">
        <v>6361</v>
      </c>
      <c r="E6290" t="s">
        <v>4</v>
      </c>
      <c r="F6290">
        <v>4.5599999999999996</v>
      </c>
      <c r="G6290">
        <v>0.38</v>
      </c>
      <c r="H6290" t="s">
        <v>106</v>
      </c>
      <c r="I6290" s="1">
        <v>9.8800000000000008</v>
      </c>
      <c r="J6290" s="1">
        <v>9.39</v>
      </c>
      <c r="K6290" t="s">
        <v>457</v>
      </c>
      <c r="L6290" s="1">
        <v>10.32</v>
      </c>
    </row>
    <row r="6291" spans="1:12">
      <c r="A6291" t="s">
        <v>6055</v>
      </c>
      <c r="B6291">
        <v>379826</v>
      </c>
      <c r="C6291" s="2" t="str">
        <f>"62177"</f>
        <v>62177</v>
      </c>
      <c r="D6291" t="s">
        <v>6362</v>
      </c>
      <c r="E6291" t="s">
        <v>4</v>
      </c>
      <c r="F6291">
        <v>4.4400000000000004</v>
      </c>
      <c r="G6291">
        <v>0.37</v>
      </c>
      <c r="H6291" t="s">
        <v>106</v>
      </c>
      <c r="I6291" s="1">
        <v>9.8800000000000008</v>
      </c>
      <c r="J6291" s="1">
        <v>9.39</v>
      </c>
      <c r="K6291" t="s">
        <v>457</v>
      </c>
      <c r="L6291" s="1">
        <v>10.32</v>
      </c>
    </row>
    <row r="6292" spans="1:12">
      <c r="A6292" t="s">
        <v>6055</v>
      </c>
      <c r="B6292">
        <v>457848</v>
      </c>
      <c r="C6292" s="2" t="str">
        <f>"6412230"</f>
        <v>6412230</v>
      </c>
      <c r="D6292" t="s">
        <v>6363</v>
      </c>
      <c r="E6292" t="s">
        <v>4</v>
      </c>
      <c r="F6292">
        <v>4.68</v>
      </c>
      <c r="G6292">
        <v>0.39</v>
      </c>
      <c r="H6292" t="s">
        <v>106</v>
      </c>
      <c r="I6292" s="1">
        <v>8.91</v>
      </c>
      <c r="J6292" s="1">
        <v>8.4600000000000009</v>
      </c>
      <c r="K6292" t="s">
        <v>457</v>
      </c>
      <c r="L6292" s="1">
        <v>9.31</v>
      </c>
    </row>
    <row r="6293" spans="1:12">
      <c r="A6293" t="s">
        <v>6055</v>
      </c>
      <c r="B6293">
        <v>457899</v>
      </c>
      <c r="C6293" s="2" t="str">
        <f>"6412335"</f>
        <v>6412335</v>
      </c>
      <c r="D6293" t="s">
        <v>6364</v>
      </c>
      <c r="E6293" t="s">
        <v>4</v>
      </c>
      <c r="F6293">
        <v>5.04</v>
      </c>
      <c r="G6293">
        <v>0.42</v>
      </c>
      <c r="H6293" t="s">
        <v>106</v>
      </c>
      <c r="I6293" s="1">
        <v>8.9700000000000006</v>
      </c>
      <c r="J6293" s="1">
        <v>8.52</v>
      </c>
      <c r="K6293" t="s">
        <v>457</v>
      </c>
      <c r="L6293" s="1">
        <v>9.3699999999999992</v>
      </c>
    </row>
    <row r="6294" spans="1:12">
      <c r="A6294" t="s">
        <v>6055</v>
      </c>
      <c r="B6294">
        <v>457852</v>
      </c>
      <c r="C6294" s="2" t="str">
        <f>"6412445"</f>
        <v>6412445</v>
      </c>
      <c r="D6294" t="s">
        <v>6365</v>
      </c>
      <c r="E6294" t="s">
        <v>4</v>
      </c>
      <c r="F6294">
        <v>5.52</v>
      </c>
      <c r="G6294">
        <v>0.46</v>
      </c>
      <c r="H6294" t="s">
        <v>106</v>
      </c>
      <c r="I6294" s="1">
        <v>9.17</v>
      </c>
      <c r="J6294" s="1">
        <v>8.7100000000000009</v>
      </c>
      <c r="K6294" t="s">
        <v>457</v>
      </c>
      <c r="L6294" s="1">
        <v>9.58</v>
      </c>
    </row>
    <row r="6295" spans="1:12">
      <c r="A6295" t="s">
        <v>6055</v>
      </c>
      <c r="B6295">
        <v>457856</v>
      </c>
      <c r="C6295" s="2" t="str">
        <f>"6412655"</f>
        <v>6412655</v>
      </c>
      <c r="D6295" t="s">
        <v>6366</v>
      </c>
      <c r="E6295" t="s">
        <v>4</v>
      </c>
      <c r="F6295">
        <v>6.36</v>
      </c>
      <c r="G6295">
        <v>0.53</v>
      </c>
      <c r="H6295" t="s">
        <v>106</v>
      </c>
      <c r="I6295" s="1">
        <v>9.69</v>
      </c>
      <c r="J6295" s="1">
        <v>9.1999999999999993</v>
      </c>
      <c r="K6295" t="s">
        <v>457</v>
      </c>
      <c r="L6295" s="1">
        <v>10.119999999999999</v>
      </c>
    </row>
    <row r="6296" spans="1:12">
      <c r="A6296" t="s">
        <v>6055</v>
      </c>
      <c r="B6296">
        <v>457858</v>
      </c>
      <c r="C6296" s="2" t="str">
        <f>"6412865"</f>
        <v>6412865</v>
      </c>
      <c r="D6296" t="s">
        <v>6367</v>
      </c>
      <c r="E6296" t="s">
        <v>4</v>
      </c>
      <c r="F6296">
        <v>6.96</v>
      </c>
      <c r="G6296">
        <v>0.57999999999999996</v>
      </c>
      <c r="H6296" t="s">
        <v>106</v>
      </c>
      <c r="I6296" s="1">
        <v>9.8800000000000008</v>
      </c>
      <c r="J6296" s="1">
        <v>9.39</v>
      </c>
      <c r="K6296" t="s">
        <v>21</v>
      </c>
      <c r="L6296" s="1">
        <v>10.32</v>
      </c>
    </row>
    <row r="6297" spans="1:12">
      <c r="A6297" t="s">
        <v>6055</v>
      </c>
      <c r="B6297">
        <v>452046</v>
      </c>
      <c r="C6297" s="2" t="str">
        <f>"64130"</f>
        <v>64130</v>
      </c>
      <c r="D6297" t="s">
        <v>6368</v>
      </c>
      <c r="E6297" t="s">
        <v>4</v>
      </c>
      <c r="F6297">
        <v>4.8</v>
      </c>
      <c r="G6297">
        <v>0.4</v>
      </c>
      <c r="H6297" t="s">
        <v>106</v>
      </c>
      <c r="I6297" s="1">
        <v>8.58</v>
      </c>
      <c r="J6297" s="1">
        <v>8.15</v>
      </c>
      <c r="K6297" t="s">
        <v>457</v>
      </c>
      <c r="L6297" s="1">
        <v>8.9700000000000006</v>
      </c>
    </row>
    <row r="6298" spans="1:12">
      <c r="A6298" t="s">
        <v>6055</v>
      </c>
      <c r="B6298">
        <v>457846</v>
      </c>
      <c r="C6298" s="2" t="str">
        <f>"64132"</f>
        <v>64132</v>
      </c>
      <c r="D6298" t="s">
        <v>6369</v>
      </c>
      <c r="E6298" t="s">
        <v>4</v>
      </c>
      <c r="F6298">
        <v>4.68</v>
      </c>
      <c r="G6298">
        <v>0.39</v>
      </c>
      <c r="H6298" t="s">
        <v>106</v>
      </c>
      <c r="I6298" s="1">
        <v>8.7100000000000009</v>
      </c>
      <c r="J6298" s="1">
        <v>8.27</v>
      </c>
      <c r="K6298" t="s">
        <v>457</v>
      </c>
      <c r="L6298" s="1">
        <v>9.1</v>
      </c>
    </row>
    <row r="6299" spans="1:12">
      <c r="A6299" t="s">
        <v>6055</v>
      </c>
      <c r="B6299">
        <v>450797</v>
      </c>
      <c r="C6299" s="2" t="str">
        <f>"64134"</f>
        <v>64134</v>
      </c>
      <c r="D6299" t="s">
        <v>6370</v>
      </c>
      <c r="E6299" t="s">
        <v>4</v>
      </c>
      <c r="F6299">
        <v>4.68</v>
      </c>
      <c r="G6299">
        <v>0.39</v>
      </c>
      <c r="H6299" t="s">
        <v>106</v>
      </c>
      <c r="I6299" s="1">
        <v>8.7100000000000009</v>
      </c>
      <c r="J6299" s="1">
        <v>8.27</v>
      </c>
      <c r="K6299" t="s">
        <v>457</v>
      </c>
      <c r="L6299" s="1">
        <v>9.1</v>
      </c>
    </row>
    <row r="6300" spans="1:12">
      <c r="A6300" t="s">
        <v>6055</v>
      </c>
      <c r="B6300">
        <v>452308</v>
      </c>
      <c r="C6300" s="2" t="str">
        <f>"64136"</f>
        <v>64136</v>
      </c>
      <c r="D6300" t="s">
        <v>6371</v>
      </c>
      <c r="E6300" t="s">
        <v>4</v>
      </c>
      <c r="F6300">
        <v>4.5599999999999996</v>
      </c>
      <c r="G6300">
        <v>0.38</v>
      </c>
      <c r="H6300" t="s">
        <v>106</v>
      </c>
      <c r="I6300" s="1">
        <v>8.58</v>
      </c>
      <c r="J6300" s="1">
        <v>8.15</v>
      </c>
      <c r="K6300" t="s">
        <v>457</v>
      </c>
      <c r="L6300" s="1">
        <v>8.9700000000000006</v>
      </c>
    </row>
    <row r="6301" spans="1:12">
      <c r="A6301" t="s">
        <v>6055</v>
      </c>
      <c r="B6301">
        <v>457843</v>
      </c>
      <c r="C6301" s="2" t="str">
        <f>"64138"</f>
        <v>64138</v>
      </c>
      <c r="D6301" t="s">
        <v>6372</v>
      </c>
      <c r="E6301" t="s">
        <v>4</v>
      </c>
      <c r="F6301">
        <v>4.4400000000000004</v>
      </c>
      <c r="G6301">
        <v>0.37</v>
      </c>
      <c r="H6301" t="s">
        <v>106</v>
      </c>
      <c r="I6301" s="1">
        <v>8.58</v>
      </c>
      <c r="J6301" s="1">
        <v>8.15</v>
      </c>
      <c r="K6301" t="s">
        <v>457</v>
      </c>
      <c r="L6301" s="1">
        <v>8.9700000000000006</v>
      </c>
    </row>
    <row r="6302" spans="1:12">
      <c r="A6302" t="s">
        <v>6055</v>
      </c>
      <c r="B6302">
        <v>457847</v>
      </c>
      <c r="C6302" s="2" t="str">
        <f>"6422230"</f>
        <v>6422230</v>
      </c>
      <c r="D6302" t="s">
        <v>6373</v>
      </c>
      <c r="E6302" t="s">
        <v>4</v>
      </c>
      <c r="F6302">
        <v>4.68</v>
      </c>
      <c r="G6302">
        <v>0.39</v>
      </c>
      <c r="H6302" t="s">
        <v>106</v>
      </c>
      <c r="I6302" s="1">
        <v>8.91</v>
      </c>
      <c r="J6302" s="1">
        <v>8.4600000000000009</v>
      </c>
      <c r="K6302" t="s">
        <v>457</v>
      </c>
      <c r="L6302" s="1">
        <v>9.31</v>
      </c>
    </row>
    <row r="6303" spans="1:12">
      <c r="A6303" t="s">
        <v>6055</v>
      </c>
      <c r="B6303">
        <v>457898</v>
      </c>
      <c r="C6303" s="2" t="str">
        <f>"6422335"</f>
        <v>6422335</v>
      </c>
      <c r="D6303" t="s">
        <v>6374</v>
      </c>
      <c r="E6303" t="s">
        <v>4</v>
      </c>
      <c r="F6303">
        <v>5.4</v>
      </c>
      <c r="G6303">
        <v>0.45</v>
      </c>
      <c r="H6303" t="s">
        <v>106</v>
      </c>
      <c r="I6303" s="1">
        <v>8.9700000000000006</v>
      </c>
      <c r="J6303" s="1">
        <v>8.52</v>
      </c>
      <c r="K6303" t="s">
        <v>457</v>
      </c>
      <c r="L6303" s="1">
        <v>9.3699999999999992</v>
      </c>
    </row>
    <row r="6304" spans="1:12">
      <c r="A6304" t="s">
        <v>6055</v>
      </c>
      <c r="B6304">
        <v>457851</v>
      </c>
      <c r="C6304" s="2" t="str">
        <f>"6422445"</f>
        <v>6422445</v>
      </c>
      <c r="D6304" t="s">
        <v>6375</v>
      </c>
      <c r="E6304" t="s">
        <v>4</v>
      </c>
      <c r="F6304">
        <v>5.16</v>
      </c>
      <c r="G6304">
        <v>0.43</v>
      </c>
      <c r="H6304" t="s">
        <v>106</v>
      </c>
      <c r="I6304" s="1">
        <v>9.17</v>
      </c>
      <c r="J6304" s="1">
        <v>8.7100000000000009</v>
      </c>
      <c r="K6304" t="s">
        <v>457</v>
      </c>
      <c r="L6304" s="1">
        <v>9.58</v>
      </c>
    </row>
    <row r="6305" spans="1:12">
      <c r="A6305" t="s">
        <v>6055</v>
      </c>
      <c r="B6305">
        <v>457855</v>
      </c>
      <c r="C6305" s="2" t="str">
        <f>"6422655"</f>
        <v>6422655</v>
      </c>
      <c r="D6305" t="s">
        <v>6376</v>
      </c>
      <c r="E6305" t="s">
        <v>4</v>
      </c>
      <c r="F6305">
        <v>5.88</v>
      </c>
      <c r="G6305">
        <v>0.49</v>
      </c>
      <c r="H6305" t="s">
        <v>106</v>
      </c>
      <c r="I6305" s="1">
        <v>9.69</v>
      </c>
      <c r="J6305" s="1">
        <v>9.1999999999999993</v>
      </c>
      <c r="K6305" t="s">
        <v>457</v>
      </c>
      <c r="L6305" s="1">
        <v>10.119999999999999</v>
      </c>
    </row>
    <row r="6306" spans="1:12">
      <c r="A6306" t="s">
        <v>6055</v>
      </c>
      <c r="B6306">
        <v>457857</v>
      </c>
      <c r="C6306" s="2" t="str">
        <f>"6422865"</f>
        <v>6422865</v>
      </c>
      <c r="D6306" t="s">
        <v>6377</v>
      </c>
      <c r="E6306" t="s">
        <v>4</v>
      </c>
      <c r="F6306">
        <v>6.6</v>
      </c>
      <c r="G6306">
        <v>0.55000000000000004</v>
      </c>
      <c r="H6306" t="s">
        <v>106</v>
      </c>
      <c r="I6306" s="1">
        <v>9.8800000000000008</v>
      </c>
      <c r="J6306" s="1">
        <v>9.39</v>
      </c>
      <c r="K6306" t="s">
        <v>457</v>
      </c>
      <c r="L6306" s="1">
        <v>10.32</v>
      </c>
    </row>
    <row r="6307" spans="1:12">
      <c r="A6307" t="s">
        <v>6055</v>
      </c>
      <c r="B6307">
        <v>457891</v>
      </c>
      <c r="C6307" s="2" t="str">
        <f>"64403"</f>
        <v>64403</v>
      </c>
      <c r="D6307" t="s">
        <v>6378</v>
      </c>
      <c r="E6307" t="s">
        <v>4</v>
      </c>
      <c r="F6307">
        <v>5.28</v>
      </c>
      <c r="G6307">
        <v>0.44</v>
      </c>
      <c r="H6307" t="s">
        <v>106</v>
      </c>
      <c r="I6307" s="1">
        <v>8</v>
      </c>
      <c r="J6307" s="1">
        <v>7.6</v>
      </c>
      <c r="K6307" t="s">
        <v>457</v>
      </c>
      <c r="L6307" s="1">
        <v>8.35</v>
      </c>
    </row>
    <row r="6308" spans="1:12">
      <c r="A6308" t="s">
        <v>6055</v>
      </c>
      <c r="B6308">
        <v>457892</v>
      </c>
      <c r="C6308" s="2" t="str">
        <f>"64404"</f>
        <v>64404</v>
      </c>
      <c r="D6308" t="s">
        <v>6379</v>
      </c>
      <c r="E6308" t="s">
        <v>4</v>
      </c>
      <c r="F6308">
        <v>5.04</v>
      </c>
      <c r="G6308">
        <v>0.42</v>
      </c>
      <c r="H6308" t="s">
        <v>106</v>
      </c>
      <c r="I6308" s="1">
        <v>8</v>
      </c>
      <c r="J6308" s="1">
        <v>7.6</v>
      </c>
      <c r="K6308" t="s">
        <v>457</v>
      </c>
      <c r="L6308" s="1">
        <v>8.35</v>
      </c>
    </row>
    <row r="6309" spans="1:12">
      <c r="A6309" t="s">
        <v>6055</v>
      </c>
      <c r="B6309">
        <v>457893</v>
      </c>
      <c r="C6309" s="2" t="str">
        <f>"64405"</f>
        <v>64405</v>
      </c>
      <c r="D6309" t="s">
        <v>6380</v>
      </c>
      <c r="E6309" t="s">
        <v>4</v>
      </c>
      <c r="F6309">
        <v>5.04</v>
      </c>
      <c r="G6309">
        <v>0.42</v>
      </c>
      <c r="H6309" t="s">
        <v>106</v>
      </c>
      <c r="I6309" s="1">
        <v>8</v>
      </c>
      <c r="J6309" s="1">
        <v>7.6</v>
      </c>
      <c r="K6309" t="s">
        <v>457</v>
      </c>
      <c r="L6309" s="1">
        <v>8.35</v>
      </c>
    </row>
    <row r="6310" spans="1:12">
      <c r="A6310" t="s">
        <v>6055</v>
      </c>
      <c r="B6310">
        <v>457877</v>
      </c>
      <c r="C6310" s="2" t="str">
        <f>"64406"</f>
        <v>64406</v>
      </c>
      <c r="D6310" t="s">
        <v>6381</v>
      </c>
      <c r="E6310" t="s">
        <v>4</v>
      </c>
      <c r="F6310">
        <v>6.24</v>
      </c>
      <c r="G6310">
        <v>0.52</v>
      </c>
      <c r="H6310" t="s">
        <v>106</v>
      </c>
      <c r="I6310" s="1">
        <v>9.3000000000000007</v>
      </c>
      <c r="J6310" s="1">
        <v>8.83</v>
      </c>
      <c r="K6310" t="s">
        <v>457</v>
      </c>
      <c r="L6310" s="1">
        <v>9.7100000000000009</v>
      </c>
    </row>
    <row r="6311" spans="1:12">
      <c r="A6311" t="s">
        <v>6055</v>
      </c>
      <c r="B6311">
        <v>457878</v>
      </c>
      <c r="C6311" s="2" t="str">
        <f>"64407"</f>
        <v>64407</v>
      </c>
      <c r="D6311" t="s">
        <v>6382</v>
      </c>
      <c r="E6311" t="s">
        <v>4</v>
      </c>
      <c r="F6311">
        <v>6</v>
      </c>
      <c r="G6311">
        <v>0.5</v>
      </c>
      <c r="H6311" t="s">
        <v>106</v>
      </c>
      <c r="I6311" s="1">
        <v>9.3000000000000007</v>
      </c>
      <c r="J6311" s="1">
        <v>8.83</v>
      </c>
      <c r="K6311" t="s">
        <v>457</v>
      </c>
      <c r="L6311" s="1">
        <v>9.7100000000000009</v>
      </c>
    </row>
    <row r="6312" spans="1:12">
      <c r="A6312" t="s">
        <v>6055</v>
      </c>
      <c r="B6312">
        <v>458691</v>
      </c>
      <c r="C6312" s="2" t="str">
        <f>"64408"</f>
        <v>64408</v>
      </c>
      <c r="D6312" t="s">
        <v>6383</v>
      </c>
      <c r="E6312" t="s">
        <v>4</v>
      </c>
      <c r="F6312">
        <v>6.12</v>
      </c>
      <c r="G6312">
        <v>0.51</v>
      </c>
      <c r="H6312" t="s">
        <v>106</v>
      </c>
      <c r="I6312" s="1">
        <v>9.3000000000000007</v>
      </c>
      <c r="J6312" s="1">
        <v>8.83</v>
      </c>
      <c r="K6312" t="s">
        <v>457</v>
      </c>
      <c r="L6312" s="1">
        <v>9.7100000000000009</v>
      </c>
    </row>
    <row r="6313" spans="1:12">
      <c r="A6313" t="s">
        <v>6055</v>
      </c>
      <c r="B6313">
        <v>445345</v>
      </c>
      <c r="C6313" s="2" t="str">
        <f>"67228"</f>
        <v>67228</v>
      </c>
      <c r="D6313" t="s">
        <v>6384</v>
      </c>
      <c r="E6313" t="s">
        <v>4</v>
      </c>
      <c r="F6313">
        <v>14.64</v>
      </c>
      <c r="H6313" t="s">
        <v>5</v>
      </c>
      <c r="I6313" s="1">
        <v>190.97</v>
      </c>
      <c r="J6313" s="1">
        <v>181.42</v>
      </c>
      <c r="K6313" t="s">
        <v>6</v>
      </c>
    </row>
    <row r="6314" spans="1:12">
      <c r="A6314" t="s">
        <v>6055</v>
      </c>
      <c r="B6314">
        <v>537551</v>
      </c>
      <c r="C6314" s="2" t="str">
        <f>"67315"</f>
        <v>67315</v>
      </c>
      <c r="D6314" t="s">
        <v>6385</v>
      </c>
      <c r="E6314" t="s">
        <v>4</v>
      </c>
      <c r="F6314">
        <v>1.02</v>
      </c>
      <c r="G6314">
        <v>1.02</v>
      </c>
      <c r="H6314">
        <v>1</v>
      </c>
      <c r="I6314" s="1">
        <v>12.42</v>
      </c>
      <c r="J6314" s="1">
        <v>11.79</v>
      </c>
      <c r="K6314" t="s">
        <v>21</v>
      </c>
      <c r="L6314" s="1">
        <v>12.97</v>
      </c>
    </row>
    <row r="6315" spans="1:12">
      <c r="A6315" t="s">
        <v>6055</v>
      </c>
      <c r="B6315">
        <v>515249</v>
      </c>
      <c r="C6315" s="2" t="str">
        <f>"67409"</f>
        <v>67409</v>
      </c>
      <c r="D6315" t="s">
        <v>6386</v>
      </c>
      <c r="E6315" t="s">
        <v>4</v>
      </c>
      <c r="F6315">
        <v>0.94</v>
      </c>
      <c r="H6315" t="s">
        <v>5</v>
      </c>
      <c r="I6315" s="1">
        <v>16.45</v>
      </c>
      <c r="J6315" s="1">
        <v>15.62</v>
      </c>
      <c r="K6315" t="s">
        <v>6</v>
      </c>
    </row>
    <row r="6316" spans="1:12">
      <c r="A6316" t="s">
        <v>6055</v>
      </c>
      <c r="B6316">
        <v>515251</v>
      </c>
      <c r="C6316" s="2" t="str">
        <f>"67412"</f>
        <v>67412</v>
      </c>
      <c r="D6316" t="s">
        <v>6387</v>
      </c>
      <c r="E6316" t="s">
        <v>4</v>
      </c>
      <c r="F6316">
        <v>0.62</v>
      </c>
      <c r="H6316" t="s">
        <v>5</v>
      </c>
      <c r="I6316" s="1">
        <v>12.94</v>
      </c>
      <c r="J6316" s="1">
        <v>12.29</v>
      </c>
      <c r="K6316" t="s">
        <v>6</v>
      </c>
    </row>
    <row r="6317" spans="1:12">
      <c r="A6317" t="s">
        <v>6055</v>
      </c>
      <c r="B6317">
        <v>537546</v>
      </c>
      <c r="C6317" s="2" t="str">
        <f>"67417"</f>
        <v>67417</v>
      </c>
      <c r="D6317" t="s">
        <v>6388</v>
      </c>
      <c r="E6317" t="s">
        <v>4</v>
      </c>
      <c r="F6317">
        <v>1</v>
      </c>
      <c r="G6317">
        <v>1</v>
      </c>
      <c r="H6317">
        <v>1</v>
      </c>
      <c r="I6317" s="1">
        <v>16.45</v>
      </c>
      <c r="J6317" s="1">
        <v>15.62</v>
      </c>
      <c r="K6317" t="s">
        <v>21</v>
      </c>
      <c r="L6317" s="1">
        <v>17.190000000000001</v>
      </c>
    </row>
    <row r="6318" spans="1:12">
      <c r="A6318" t="s">
        <v>6055</v>
      </c>
      <c r="B6318">
        <v>537543</v>
      </c>
      <c r="C6318" s="2" t="str">
        <f>"67424"</f>
        <v>67424</v>
      </c>
      <c r="D6318" t="s">
        <v>6389</v>
      </c>
      <c r="E6318" t="s">
        <v>4</v>
      </c>
      <c r="F6318">
        <v>0.8</v>
      </c>
      <c r="G6318">
        <v>0.8</v>
      </c>
      <c r="H6318">
        <v>1</v>
      </c>
      <c r="I6318" s="1">
        <v>14.69</v>
      </c>
      <c r="J6318" s="1">
        <v>13.96</v>
      </c>
      <c r="K6318" t="s">
        <v>21</v>
      </c>
      <c r="L6318" s="1">
        <v>15.35</v>
      </c>
    </row>
    <row r="6319" spans="1:12">
      <c r="A6319" t="s">
        <v>6055</v>
      </c>
      <c r="B6319">
        <v>485445</v>
      </c>
      <c r="C6319" s="2" t="str">
        <f>"67509"</f>
        <v>67509</v>
      </c>
      <c r="D6319" t="s">
        <v>6390</v>
      </c>
      <c r="E6319" t="s">
        <v>4</v>
      </c>
      <c r="F6319">
        <v>0.86</v>
      </c>
      <c r="H6319" t="s">
        <v>5</v>
      </c>
      <c r="I6319" s="1">
        <v>12.61</v>
      </c>
      <c r="J6319" s="1">
        <v>11.98</v>
      </c>
      <c r="K6319" t="s">
        <v>6</v>
      </c>
    </row>
    <row r="6320" spans="1:12">
      <c r="A6320" t="s">
        <v>6055</v>
      </c>
      <c r="B6320">
        <v>368325</v>
      </c>
      <c r="C6320" s="2" t="str">
        <f>"67512"</f>
        <v>67512</v>
      </c>
      <c r="D6320" t="s">
        <v>6391</v>
      </c>
      <c r="E6320" t="s">
        <v>4</v>
      </c>
      <c r="F6320">
        <v>3.35</v>
      </c>
      <c r="H6320" t="s">
        <v>5</v>
      </c>
      <c r="I6320" s="1">
        <v>40.299999999999997</v>
      </c>
      <c r="J6320" s="1">
        <v>38.29</v>
      </c>
      <c r="K6320" t="s">
        <v>6</v>
      </c>
    </row>
    <row r="6321" spans="1:12">
      <c r="A6321" t="s">
        <v>6055</v>
      </c>
      <c r="B6321">
        <v>371054</v>
      </c>
      <c r="C6321" s="2" t="str">
        <f>"67520"</f>
        <v>67520</v>
      </c>
      <c r="D6321" t="s">
        <v>6392</v>
      </c>
      <c r="E6321" t="s">
        <v>4</v>
      </c>
      <c r="F6321">
        <v>6.4</v>
      </c>
      <c r="H6321" t="s">
        <v>5</v>
      </c>
      <c r="I6321" s="1">
        <v>52.33</v>
      </c>
      <c r="J6321" s="1">
        <v>49.71</v>
      </c>
      <c r="K6321" t="s">
        <v>6</v>
      </c>
    </row>
    <row r="6322" spans="1:12">
      <c r="A6322" t="s">
        <v>6055</v>
      </c>
      <c r="B6322">
        <v>415384</v>
      </c>
      <c r="C6322" s="2" t="str">
        <f>"67521"</f>
        <v>67521</v>
      </c>
      <c r="D6322" t="s">
        <v>6393</v>
      </c>
      <c r="E6322" t="s">
        <v>4</v>
      </c>
      <c r="F6322">
        <v>1.3</v>
      </c>
      <c r="H6322" t="s">
        <v>5</v>
      </c>
      <c r="I6322" s="1">
        <v>14.95</v>
      </c>
      <c r="J6322" s="1">
        <v>14.2</v>
      </c>
      <c r="K6322" t="s">
        <v>6</v>
      </c>
    </row>
    <row r="6323" spans="1:12">
      <c r="A6323" t="s">
        <v>6055</v>
      </c>
      <c r="B6323">
        <v>371030</v>
      </c>
      <c r="C6323" s="2" t="str">
        <f>"67524"</f>
        <v>67524</v>
      </c>
      <c r="D6323" t="s">
        <v>6394</v>
      </c>
      <c r="E6323" t="s">
        <v>4</v>
      </c>
      <c r="F6323">
        <v>4</v>
      </c>
      <c r="H6323" t="s">
        <v>5</v>
      </c>
      <c r="I6323" s="1">
        <v>58.89</v>
      </c>
      <c r="J6323" s="1">
        <v>55.95</v>
      </c>
      <c r="K6323" t="s">
        <v>6</v>
      </c>
    </row>
    <row r="6324" spans="1:12">
      <c r="A6324" t="s">
        <v>6055</v>
      </c>
      <c r="B6324">
        <v>535725</v>
      </c>
      <c r="C6324" s="2" t="str">
        <f>"67533"</f>
        <v>67533</v>
      </c>
      <c r="D6324" t="s">
        <v>6395</v>
      </c>
      <c r="E6324" t="s">
        <v>4</v>
      </c>
      <c r="F6324">
        <v>2.6</v>
      </c>
      <c r="G6324">
        <v>1.3</v>
      </c>
      <c r="H6324" t="s">
        <v>175</v>
      </c>
      <c r="I6324" s="1">
        <v>16.38</v>
      </c>
      <c r="J6324" s="1">
        <v>15.56</v>
      </c>
      <c r="K6324" t="s">
        <v>21</v>
      </c>
      <c r="L6324" s="1">
        <v>17.12</v>
      </c>
    </row>
    <row r="6325" spans="1:12">
      <c r="A6325" t="s">
        <v>6055</v>
      </c>
      <c r="B6325">
        <v>370984</v>
      </c>
      <c r="C6325" s="2" t="str">
        <f>"67540"</f>
        <v>67540</v>
      </c>
      <c r="D6325" t="s">
        <v>6396</v>
      </c>
      <c r="E6325" t="s">
        <v>4</v>
      </c>
      <c r="F6325">
        <v>10</v>
      </c>
      <c r="H6325" t="s">
        <v>5</v>
      </c>
      <c r="I6325" s="1">
        <v>80.73</v>
      </c>
      <c r="J6325" s="1">
        <v>76.69</v>
      </c>
      <c r="K6325" t="s">
        <v>6</v>
      </c>
    </row>
    <row r="6326" spans="1:12">
      <c r="A6326" t="s">
        <v>6055</v>
      </c>
      <c r="B6326">
        <v>428257</v>
      </c>
      <c r="C6326" s="2" t="str">
        <f>"67541"</f>
        <v>67541</v>
      </c>
      <c r="D6326" t="s">
        <v>6397</v>
      </c>
      <c r="E6326" t="s">
        <v>4</v>
      </c>
      <c r="F6326">
        <v>1.5</v>
      </c>
      <c r="H6326" t="s">
        <v>5</v>
      </c>
      <c r="I6326" s="1">
        <v>19.309999999999999</v>
      </c>
      <c r="J6326" s="1">
        <v>18.34</v>
      </c>
      <c r="K6326" t="s">
        <v>6</v>
      </c>
    </row>
    <row r="6327" spans="1:12">
      <c r="A6327" t="s">
        <v>6055</v>
      </c>
      <c r="B6327">
        <v>448589</v>
      </c>
      <c r="C6327" s="2" t="str">
        <f>"67561"</f>
        <v>67561</v>
      </c>
      <c r="D6327" t="s">
        <v>6398</v>
      </c>
      <c r="E6327" t="s">
        <v>4</v>
      </c>
      <c r="F6327">
        <v>2.23</v>
      </c>
      <c r="H6327" t="s">
        <v>5</v>
      </c>
      <c r="I6327" s="1">
        <v>30.42</v>
      </c>
      <c r="J6327" s="1">
        <v>28.9</v>
      </c>
      <c r="K6327" t="s">
        <v>6</v>
      </c>
    </row>
    <row r="6328" spans="1:12">
      <c r="A6328" t="s">
        <v>6055</v>
      </c>
      <c r="B6328">
        <v>402332</v>
      </c>
      <c r="C6328" s="2" t="str">
        <f>"67581"</f>
        <v>67581</v>
      </c>
      <c r="D6328" t="s">
        <v>6399</v>
      </c>
      <c r="E6328" t="s">
        <v>4</v>
      </c>
      <c r="F6328">
        <v>2.75</v>
      </c>
      <c r="H6328" t="s">
        <v>5</v>
      </c>
      <c r="I6328" s="1">
        <v>35.56</v>
      </c>
      <c r="J6328" s="1">
        <v>33.78</v>
      </c>
      <c r="K6328" t="s">
        <v>6</v>
      </c>
    </row>
    <row r="6329" spans="1:12">
      <c r="A6329" t="s">
        <v>6055</v>
      </c>
      <c r="B6329">
        <v>379827</v>
      </c>
      <c r="C6329" s="2" t="str">
        <f>"67607"</f>
        <v>67607</v>
      </c>
      <c r="D6329" t="s">
        <v>6400</v>
      </c>
      <c r="E6329" t="s">
        <v>4</v>
      </c>
      <c r="F6329">
        <v>6.42</v>
      </c>
      <c r="G6329">
        <v>1.07</v>
      </c>
      <c r="H6329" t="s">
        <v>20</v>
      </c>
      <c r="I6329" s="1">
        <v>18.2</v>
      </c>
      <c r="J6329" s="1">
        <v>17.29</v>
      </c>
      <c r="K6329" t="s">
        <v>457</v>
      </c>
      <c r="L6329" s="1">
        <v>19.02</v>
      </c>
    </row>
    <row r="6330" spans="1:12">
      <c r="A6330" t="s">
        <v>6055</v>
      </c>
      <c r="B6330">
        <v>393091</v>
      </c>
      <c r="C6330" s="2" t="str">
        <f>"67608"</f>
        <v>67608</v>
      </c>
      <c r="D6330" t="s">
        <v>6401</v>
      </c>
      <c r="E6330" t="s">
        <v>4</v>
      </c>
      <c r="F6330">
        <v>8.0399999999999991</v>
      </c>
      <c r="G6330">
        <v>1.34</v>
      </c>
      <c r="H6330" t="s">
        <v>20</v>
      </c>
      <c r="I6330" s="1">
        <v>23.01</v>
      </c>
      <c r="J6330" s="1">
        <v>21.86</v>
      </c>
      <c r="K6330" t="s">
        <v>457</v>
      </c>
      <c r="L6330" s="1">
        <v>24.05</v>
      </c>
    </row>
    <row r="6331" spans="1:12">
      <c r="A6331" t="s">
        <v>6055</v>
      </c>
      <c r="B6331">
        <v>379833</v>
      </c>
      <c r="C6331" s="2" t="str">
        <f>"67610"</f>
        <v>67610</v>
      </c>
      <c r="D6331" t="s">
        <v>6402</v>
      </c>
      <c r="E6331" t="s">
        <v>4</v>
      </c>
      <c r="F6331">
        <v>13.38</v>
      </c>
      <c r="G6331">
        <v>2.23</v>
      </c>
      <c r="H6331" t="s">
        <v>20</v>
      </c>
      <c r="I6331" s="1">
        <v>31.33</v>
      </c>
      <c r="J6331" s="1">
        <v>29.76</v>
      </c>
      <c r="K6331" t="s">
        <v>457</v>
      </c>
      <c r="L6331" s="1">
        <v>32.74</v>
      </c>
    </row>
    <row r="6332" spans="1:12">
      <c r="A6332" t="s">
        <v>6055</v>
      </c>
      <c r="B6332">
        <v>371052</v>
      </c>
      <c r="C6332" s="2" t="str">
        <f>"67614"</f>
        <v>67614</v>
      </c>
      <c r="D6332" t="s">
        <v>6403</v>
      </c>
      <c r="E6332" t="s">
        <v>4</v>
      </c>
      <c r="F6332">
        <v>5.5</v>
      </c>
      <c r="H6332" t="s">
        <v>5</v>
      </c>
      <c r="I6332" s="1">
        <v>62.14</v>
      </c>
      <c r="J6332" s="1">
        <v>59.03</v>
      </c>
      <c r="K6332" t="s">
        <v>6</v>
      </c>
    </row>
    <row r="6333" spans="1:12">
      <c r="A6333" t="s">
        <v>6055</v>
      </c>
      <c r="B6333">
        <v>379835</v>
      </c>
      <c r="C6333" s="2" t="str">
        <f>"67711"</f>
        <v>67711</v>
      </c>
      <c r="D6333" t="s">
        <v>6404</v>
      </c>
      <c r="E6333" t="s">
        <v>4</v>
      </c>
      <c r="F6333">
        <v>8.8000000000000007</v>
      </c>
      <c r="H6333" t="s">
        <v>5</v>
      </c>
      <c r="I6333" s="1">
        <v>116.55</v>
      </c>
      <c r="J6333" s="1">
        <v>110.72</v>
      </c>
      <c r="K6333" t="s">
        <v>6</v>
      </c>
    </row>
    <row r="6334" spans="1:12">
      <c r="A6334" t="s">
        <v>6055</v>
      </c>
      <c r="B6334">
        <v>379838</v>
      </c>
      <c r="C6334" s="2" t="str">
        <f>"68127"</f>
        <v>68127</v>
      </c>
      <c r="D6334" t="s">
        <v>6405</v>
      </c>
      <c r="E6334" t="s">
        <v>4</v>
      </c>
      <c r="F6334">
        <v>13.2</v>
      </c>
      <c r="H6334" t="s">
        <v>5</v>
      </c>
      <c r="I6334" s="1">
        <v>187.01</v>
      </c>
      <c r="J6334" s="1">
        <v>177.65</v>
      </c>
      <c r="K6334" t="s">
        <v>6</v>
      </c>
    </row>
    <row r="6335" spans="1:12">
      <c r="A6335" t="s">
        <v>6055</v>
      </c>
      <c r="B6335">
        <v>535290</v>
      </c>
      <c r="C6335" s="2" t="str">
        <f>"68183"</f>
        <v>68183</v>
      </c>
      <c r="D6335" t="s">
        <v>6406</v>
      </c>
      <c r="E6335" t="s">
        <v>4</v>
      </c>
      <c r="F6335">
        <v>2.76</v>
      </c>
      <c r="G6335">
        <v>0.23</v>
      </c>
      <c r="H6335" t="s">
        <v>106</v>
      </c>
      <c r="I6335" s="1">
        <v>4.2300000000000004</v>
      </c>
      <c r="J6335" s="1">
        <v>4.01</v>
      </c>
      <c r="K6335" t="s">
        <v>21</v>
      </c>
      <c r="L6335" s="1">
        <v>4.42</v>
      </c>
    </row>
    <row r="6336" spans="1:12">
      <c r="A6336" t="s">
        <v>6055</v>
      </c>
      <c r="B6336">
        <v>535300</v>
      </c>
      <c r="C6336" s="2" t="str">
        <f>"68184"</f>
        <v>68184</v>
      </c>
      <c r="D6336" t="s">
        <v>6407</v>
      </c>
      <c r="E6336" t="s">
        <v>4</v>
      </c>
      <c r="F6336">
        <v>2.76</v>
      </c>
      <c r="G6336">
        <v>0.23</v>
      </c>
      <c r="H6336" t="s">
        <v>106</v>
      </c>
      <c r="I6336" s="1">
        <v>4.62</v>
      </c>
      <c r="J6336" s="1">
        <v>4.38</v>
      </c>
      <c r="K6336" t="s">
        <v>21</v>
      </c>
      <c r="L6336" s="1">
        <v>4.82</v>
      </c>
    </row>
    <row r="6337" spans="1:12">
      <c r="A6337" t="s">
        <v>6055</v>
      </c>
      <c r="B6337">
        <v>472042</v>
      </c>
      <c r="C6337" s="2" t="str">
        <f>"68224"</f>
        <v>68224</v>
      </c>
      <c r="D6337" t="s">
        <v>6408</v>
      </c>
      <c r="E6337" t="s">
        <v>4</v>
      </c>
      <c r="F6337">
        <v>12.9</v>
      </c>
      <c r="H6337" t="s">
        <v>5</v>
      </c>
      <c r="I6337" s="1">
        <v>183.3</v>
      </c>
      <c r="J6337" s="1">
        <v>174.14</v>
      </c>
      <c r="K6337" t="s">
        <v>6</v>
      </c>
    </row>
    <row r="6338" spans="1:12">
      <c r="A6338" t="s">
        <v>6055</v>
      </c>
      <c r="B6338">
        <v>535296</v>
      </c>
      <c r="C6338" s="2" t="str">
        <f>"68296"</f>
        <v>68296</v>
      </c>
      <c r="D6338" t="s">
        <v>6409</v>
      </c>
      <c r="E6338" t="s">
        <v>4</v>
      </c>
      <c r="F6338">
        <v>4.5</v>
      </c>
      <c r="G6338">
        <v>0.75</v>
      </c>
      <c r="H6338" t="s">
        <v>20</v>
      </c>
      <c r="I6338" s="1">
        <v>22.17</v>
      </c>
      <c r="J6338" s="1">
        <v>21.06</v>
      </c>
      <c r="K6338" t="s">
        <v>21</v>
      </c>
      <c r="L6338" s="1">
        <v>23.16</v>
      </c>
    </row>
    <row r="6339" spans="1:12">
      <c r="A6339" t="s">
        <v>6055</v>
      </c>
      <c r="B6339">
        <v>530521</v>
      </c>
      <c r="C6339" s="2" t="str">
        <f>"68298"</f>
        <v>68298</v>
      </c>
      <c r="D6339" t="s">
        <v>6410</v>
      </c>
      <c r="E6339" t="s">
        <v>4</v>
      </c>
      <c r="F6339">
        <v>9.5</v>
      </c>
      <c r="G6339">
        <v>4.75</v>
      </c>
      <c r="H6339" t="s">
        <v>175</v>
      </c>
      <c r="I6339" s="1">
        <v>91.65</v>
      </c>
      <c r="J6339" s="1">
        <v>87.07</v>
      </c>
      <c r="K6339" t="s">
        <v>21</v>
      </c>
      <c r="L6339" s="1">
        <v>95.77</v>
      </c>
    </row>
    <row r="6340" spans="1:12">
      <c r="A6340" t="s">
        <v>6055</v>
      </c>
      <c r="B6340">
        <v>368176</v>
      </c>
      <c r="C6340" s="2" t="str">
        <f>"68350"</f>
        <v>68350</v>
      </c>
      <c r="D6340" t="s">
        <v>6411</v>
      </c>
      <c r="E6340" t="s">
        <v>4</v>
      </c>
      <c r="F6340">
        <v>6.2</v>
      </c>
      <c r="H6340" t="s">
        <v>5</v>
      </c>
      <c r="I6340" s="1">
        <v>100.56</v>
      </c>
      <c r="J6340" s="1">
        <v>95.53</v>
      </c>
      <c r="K6340" t="s">
        <v>6</v>
      </c>
    </row>
    <row r="6341" spans="1:12">
      <c r="A6341" t="s">
        <v>6055</v>
      </c>
      <c r="B6341">
        <v>524593</v>
      </c>
      <c r="C6341" s="2" t="str">
        <f>"68351"</f>
        <v>68351</v>
      </c>
      <c r="D6341" t="s">
        <v>6412</v>
      </c>
      <c r="E6341" t="s">
        <v>4</v>
      </c>
      <c r="F6341">
        <v>5.7</v>
      </c>
      <c r="G6341">
        <v>0.95</v>
      </c>
      <c r="H6341" t="s">
        <v>20</v>
      </c>
      <c r="I6341" s="1">
        <v>27.69</v>
      </c>
      <c r="J6341" s="1">
        <v>26.31</v>
      </c>
      <c r="K6341" t="s">
        <v>457</v>
      </c>
      <c r="L6341" s="1">
        <v>28.94</v>
      </c>
    </row>
    <row r="6342" spans="1:12">
      <c r="A6342" t="s">
        <v>6055</v>
      </c>
      <c r="B6342">
        <v>527754</v>
      </c>
      <c r="C6342" s="2" t="str">
        <f>"68352"</f>
        <v>68352</v>
      </c>
      <c r="D6342" t="s">
        <v>6413</v>
      </c>
      <c r="E6342" t="s">
        <v>4</v>
      </c>
      <c r="F6342">
        <v>8.52</v>
      </c>
      <c r="G6342">
        <v>1.42</v>
      </c>
      <c r="H6342" t="s">
        <v>20</v>
      </c>
      <c r="I6342" s="1">
        <v>32.96</v>
      </c>
      <c r="J6342" s="1">
        <v>31.31</v>
      </c>
      <c r="K6342" t="s">
        <v>21</v>
      </c>
      <c r="L6342" s="1">
        <v>34.44</v>
      </c>
    </row>
    <row r="6343" spans="1:12">
      <c r="A6343" t="s">
        <v>6055</v>
      </c>
      <c r="B6343">
        <v>535297</v>
      </c>
      <c r="C6343" s="2" t="str">
        <f>"68357"</f>
        <v>68357</v>
      </c>
      <c r="D6343" t="s">
        <v>6414</v>
      </c>
      <c r="E6343" t="s">
        <v>4</v>
      </c>
      <c r="F6343">
        <v>28.98</v>
      </c>
      <c r="G6343">
        <v>4.83</v>
      </c>
      <c r="H6343" t="s">
        <v>20</v>
      </c>
      <c r="I6343" s="1">
        <v>45.05</v>
      </c>
      <c r="J6343" s="1">
        <v>42.79</v>
      </c>
      <c r="K6343" t="s">
        <v>21</v>
      </c>
      <c r="L6343" s="1">
        <v>47.07</v>
      </c>
    </row>
    <row r="6344" spans="1:12">
      <c r="A6344" t="s">
        <v>6055</v>
      </c>
      <c r="B6344">
        <v>535288</v>
      </c>
      <c r="C6344" s="2" t="str">
        <f>"68361"</f>
        <v>68361</v>
      </c>
      <c r="D6344" t="s">
        <v>6415</v>
      </c>
      <c r="E6344" t="s">
        <v>4</v>
      </c>
      <c r="F6344">
        <v>20.56</v>
      </c>
      <c r="G6344">
        <v>10.28</v>
      </c>
      <c r="H6344" t="s">
        <v>175</v>
      </c>
      <c r="I6344" s="1">
        <v>136.57</v>
      </c>
      <c r="J6344" s="1">
        <v>129.74</v>
      </c>
      <c r="K6344" t="s">
        <v>21</v>
      </c>
      <c r="L6344" s="1">
        <v>142.71</v>
      </c>
    </row>
    <row r="6345" spans="1:12">
      <c r="A6345" t="s">
        <v>6055</v>
      </c>
      <c r="B6345">
        <v>538142</v>
      </c>
      <c r="C6345" s="2" t="str">
        <f>"68362"</f>
        <v>68362</v>
      </c>
      <c r="D6345" t="s">
        <v>6416</v>
      </c>
      <c r="E6345" t="s">
        <v>4</v>
      </c>
      <c r="F6345">
        <v>20.84</v>
      </c>
      <c r="G6345">
        <v>10.42</v>
      </c>
      <c r="H6345" t="s">
        <v>175</v>
      </c>
      <c r="I6345" s="1">
        <v>139.04</v>
      </c>
      <c r="J6345" s="1">
        <v>132.08000000000001</v>
      </c>
      <c r="K6345" t="s">
        <v>21</v>
      </c>
      <c r="L6345" s="1">
        <v>145.29</v>
      </c>
    </row>
    <row r="6346" spans="1:12">
      <c r="A6346" t="s">
        <v>6055</v>
      </c>
      <c r="B6346">
        <v>535301</v>
      </c>
      <c r="C6346" s="2" t="str">
        <f>"68369"</f>
        <v>68369</v>
      </c>
      <c r="D6346" t="s">
        <v>6417</v>
      </c>
      <c r="E6346" t="s">
        <v>4</v>
      </c>
      <c r="F6346">
        <v>8.2799999999999994</v>
      </c>
      <c r="G6346">
        <v>2.76</v>
      </c>
      <c r="H6346" t="s">
        <v>189</v>
      </c>
      <c r="I6346" s="1">
        <v>43.81</v>
      </c>
      <c r="J6346" s="1">
        <v>41.62</v>
      </c>
      <c r="K6346" t="s">
        <v>21</v>
      </c>
      <c r="L6346" s="1">
        <v>45.78</v>
      </c>
    </row>
    <row r="6347" spans="1:12">
      <c r="A6347" t="s">
        <v>6055</v>
      </c>
      <c r="B6347">
        <v>449418</v>
      </c>
      <c r="C6347" s="2" t="str">
        <f>"68391"</f>
        <v>68391</v>
      </c>
      <c r="D6347" t="s">
        <v>6418</v>
      </c>
      <c r="E6347" t="s">
        <v>4</v>
      </c>
      <c r="F6347">
        <v>17.45</v>
      </c>
      <c r="H6347" t="s">
        <v>5</v>
      </c>
      <c r="I6347" s="1">
        <v>195.65</v>
      </c>
      <c r="J6347" s="1">
        <v>185.87</v>
      </c>
      <c r="K6347" t="s">
        <v>6</v>
      </c>
    </row>
    <row r="6348" spans="1:12">
      <c r="A6348" t="s">
        <v>6055</v>
      </c>
      <c r="B6348">
        <v>482580</v>
      </c>
      <c r="C6348" s="2" t="str">
        <f>"7022"</f>
        <v>7022</v>
      </c>
      <c r="D6348" t="s">
        <v>6419</v>
      </c>
      <c r="E6348" t="s">
        <v>4</v>
      </c>
      <c r="F6348">
        <v>1.5</v>
      </c>
      <c r="H6348" t="s">
        <v>5</v>
      </c>
      <c r="I6348" s="1">
        <v>23.4</v>
      </c>
      <c r="J6348" s="1">
        <v>22.23</v>
      </c>
      <c r="K6348" t="s">
        <v>6</v>
      </c>
    </row>
    <row r="6349" spans="1:12">
      <c r="A6349" t="s">
        <v>6055</v>
      </c>
      <c r="B6349">
        <v>482581</v>
      </c>
      <c r="C6349" s="2" t="str">
        <f>"7024"</f>
        <v>7024</v>
      </c>
      <c r="D6349" t="s">
        <v>6420</v>
      </c>
      <c r="E6349" t="s">
        <v>4</v>
      </c>
      <c r="F6349">
        <v>2.2000000000000002</v>
      </c>
      <c r="H6349" t="s">
        <v>5</v>
      </c>
      <c r="I6349" s="1">
        <v>32.57</v>
      </c>
      <c r="J6349" s="1">
        <v>30.94</v>
      </c>
      <c r="K6349" t="s">
        <v>6</v>
      </c>
    </row>
    <row r="6350" spans="1:12">
      <c r="A6350" t="s">
        <v>6055</v>
      </c>
      <c r="B6350">
        <v>368044</v>
      </c>
      <c r="C6350" s="2" t="str">
        <f>"71001"</f>
        <v>71001</v>
      </c>
      <c r="D6350" t="s">
        <v>6421</v>
      </c>
      <c r="E6350" t="s">
        <v>4</v>
      </c>
      <c r="F6350">
        <v>17</v>
      </c>
      <c r="H6350" t="s">
        <v>5</v>
      </c>
      <c r="I6350" s="1">
        <v>159.25</v>
      </c>
      <c r="J6350" s="1">
        <v>151.29</v>
      </c>
      <c r="K6350" t="s">
        <v>6</v>
      </c>
    </row>
    <row r="6351" spans="1:12">
      <c r="A6351" t="s">
        <v>6055</v>
      </c>
      <c r="B6351">
        <v>394573</v>
      </c>
      <c r="C6351" s="2" t="str">
        <f>"72000"</f>
        <v>72000</v>
      </c>
      <c r="D6351" t="s">
        <v>6422</v>
      </c>
      <c r="E6351" t="s">
        <v>4</v>
      </c>
      <c r="F6351">
        <v>20.440000000000001</v>
      </c>
      <c r="H6351" t="s">
        <v>5</v>
      </c>
      <c r="I6351" s="1">
        <v>316.55</v>
      </c>
      <c r="J6351" s="1">
        <v>300.72000000000003</v>
      </c>
      <c r="K6351" t="s">
        <v>6</v>
      </c>
    </row>
    <row r="6352" spans="1:12">
      <c r="A6352" t="s">
        <v>6055</v>
      </c>
      <c r="B6352">
        <v>371120</v>
      </c>
      <c r="C6352" s="2" t="str">
        <f>"72017"</f>
        <v>72017</v>
      </c>
      <c r="D6352" t="s">
        <v>6423</v>
      </c>
      <c r="E6352" t="s">
        <v>4</v>
      </c>
      <c r="F6352">
        <v>9</v>
      </c>
      <c r="H6352" t="s">
        <v>5</v>
      </c>
      <c r="I6352" s="1">
        <v>194.35</v>
      </c>
      <c r="J6352" s="1">
        <v>184.63</v>
      </c>
      <c r="K6352" t="s">
        <v>6</v>
      </c>
    </row>
    <row r="6353" spans="1:12">
      <c r="A6353" t="s">
        <v>6055</v>
      </c>
      <c r="B6353">
        <v>371055</v>
      </c>
      <c r="C6353" s="2" t="str">
        <f>"72021"</f>
        <v>72021</v>
      </c>
      <c r="D6353" t="s">
        <v>6424</v>
      </c>
      <c r="E6353" t="s">
        <v>4</v>
      </c>
      <c r="F6353">
        <v>12</v>
      </c>
      <c r="H6353" t="s">
        <v>5</v>
      </c>
      <c r="I6353" s="1">
        <v>215.8</v>
      </c>
      <c r="J6353" s="1">
        <v>205.01</v>
      </c>
      <c r="K6353" t="s">
        <v>6</v>
      </c>
    </row>
    <row r="6354" spans="1:12">
      <c r="A6354" t="s">
        <v>6055</v>
      </c>
      <c r="B6354">
        <v>379840</v>
      </c>
      <c r="C6354" s="2" t="str">
        <f>"72165"</f>
        <v>72165</v>
      </c>
      <c r="D6354" t="s">
        <v>6425</v>
      </c>
      <c r="E6354" t="s">
        <v>4</v>
      </c>
      <c r="F6354">
        <v>25</v>
      </c>
      <c r="H6354" t="s">
        <v>5</v>
      </c>
      <c r="I6354" s="1">
        <v>518.04999999999995</v>
      </c>
      <c r="J6354" s="1">
        <v>492.15</v>
      </c>
      <c r="K6354" t="s">
        <v>6</v>
      </c>
    </row>
    <row r="6355" spans="1:12">
      <c r="A6355" t="s">
        <v>6055</v>
      </c>
      <c r="B6355">
        <v>429199</v>
      </c>
      <c r="C6355" s="2" t="str">
        <f>"7302"</f>
        <v>7302</v>
      </c>
      <c r="D6355" t="s">
        <v>6426</v>
      </c>
      <c r="E6355" t="s">
        <v>4</v>
      </c>
      <c r="F6355">
        <v>3.42</v>
      </c>
      <c r="H6355" t="s">
        <v>5</v>
      </c>
      <c r="I6355" s="1">
        <v>29.06</v>
      </c>
      <c r="J6355" s="1">
        <v>27.6</v>
      </c>
      <c r="K6355" t="s">
        <v>6</v>
      </c>
    </row>
    <row r="6356" spans="1:12">
      <c r="A6356" t="s">
        <v>6055</v>
      </c>
      <c r="B6356">
        <v>429201</v>
      </c>
      <c r="C6356" s="2" t="str">
        <f>"7303"</f>
        <v>7303</v>
      </c>
      <c r="D6356" t="s">
        <v>6427</v>
      </c>
      <c r="E6356" t="s">
        <v>4</v>
      </c>
      <c r="F6356">
        <v>3.73</v>
      </c>
      <c r="H6356" t="s">
        <v>5</v>
      </c>
      <c r="I6356" s="1">
        <v>32.11</v>
      </c>
      <c r="J6356" s="1">
        <v>30.5</v>
      </c>
      <c r="K6356" t="s">
        <v>6</v>
      </c>
    </row>
    <row r="6357" spans="1:12">
      <c r="A6357" t="s">
        <v>6055</v>
      </c>
      <c r="B6357">
        <v>429202</v>
      </c>
      <c r="C6357" s="2" t="str">
        <f>"7304"</f>
        <v>7304</v>
      </c>
      <c r="D6357" t="s">
        <v>6428</v>
      </c>
      <c r="E6357" t="s">
        <v>4</v>
      </c>
      <c r="F6357">
        <v>4.54</v>
      </c>
      <c r="H6357" t="s">
        <v>5</v>
      </c>
      <c r="I6357" s="1">
        <v>39.72</v>
      </c>
      <c r="J6357" s="1">
        <v>37.729999999999997</v>
      </c>
      <c r="K6357" t="s">
        <v>6</v>
      </c>
    </row>
    <row r="6358" spans="1:12">
      <c r="A6358" t="s">
        <v>6055</v>
      </c>
      <c r="B6358">
        <v>429203</v>
      </c>
      <c r="C6358" s="2" t="str">
        <f>"7305"</f>
        <v>7305</v>
      </c>
      <c r="D6358" t="s">
        <v>6429</v>
      </c>
      <c r="E6358" t="s">
        <v>4</v>
      </c>
      <c r="F6358">
        <v>5.07</v>
      </c>
      <c r="H6358" t="s">
        <v>5</v>
      </c>
      <c r="I6358" s="1">
        <v>47.45</v>
      </c>
      <c r="J6358" s="1">
        <v>45.08</v>
      </c>
      <c r="K6358" t="s">
        <v>6</v>
      </c>
    </row>
    <row r="6359" spans="1:12">
      <c r="A6359" t="s">
        <v>6055</v>
      </c>
      <c r="B6359">
        <v>429206</v>
      </c>
      <c r="C6359" s="2" t="str">
        <f>"7306"</f>
        <v>7306</v>
      </c>
      <c r="D6359" t="s">
        <v>6430</v>
      </c>
      <c r="E6359" t="s">
        <v>4</v>
      </c>
      <c r="F6359">
        <v>5.6</v>
      </c>
      <c r="H6359" t="s">
        <v>5</v>
      </c>
      <c r="I6359" s="1">
        <v>53.11</v>
      </c>
      <c r="J6359" s="1">
        <v>50.45</v>
      </c>
      <c r="K6359" t="s">
        <v>6</v>
      </c>
    </row>
    <row r="6360" spans="1:12">
      <c r="A6360" t="s">
        <v>6055</v>
      </c>
      <c r="B6360">
        <v>429207</v>
      </c>
      <c r="C6360" s="2" t="str">
        <f>"7308"</f>
        <v>7308</v>
      </c>
      <c r="D6360" t="s">
        <v>6431</v>
      </c>
      <c r="E6360" t="s">
        <v>4</v>
      </c>
      <c r="F6360">
        <v>6.84</v>
      </c>
      <c r="H6360" t="s">
        <v>5</v>
      </c>
      <c r="I6360" s="1">
        <v>64.55</v>
      </c>
      <c r="J6360" s="1">
        <v>61.32</v>
      </c>
      <c r="K6360" t="s">
        <v>6</v>
      </c>
    </row>
    <row r="6361" spans="1:12">
      <c r="A6361" t="s">
        <v>6055</v>
      </c>
      <c r="B6361">
        <v>429208</v>
      </c>
      <c r="C6361" s="2" t="str">
        <f>"7310"</f>
        <v>7310</v>
      </c>
      <c r="D6361" t="s">
        <v>6432</v>
      </c>
      <c r="E6361" t="s">
        <v>4</v>
      </c>
      <c r="F6361">
        <v>7.65</v>
      </c>
      <c r="H6361" t="s">
        <v>5</v>
      </c>
      <c r="I6361" s="1">
        <v>74.62</v>
      </c>
      <c r="J6361" s="1">
        <v>70.89</v>
      </c>
      <c r="K6361" t="s">
        <v>6</v>
      </c>
    </row>
    <row r="6362" spans="1:12">
      <c r="A6362" t="s">
        <v>6055</v>
      </c>
      <c r="B6362">
        <v>429182</v>
      </c>
      <c r="C6362" s="2" t="str">
        <f>"7341"</f>
        <v>7341</v>
      </c>
      <c r="D6362" t="s">
        <v>6433</v>
      </c>
      <c r="E6362" t="s">
        <v>4</v>
      </c>
      <c r="F6362">
        <v>12.48</v>
      </c>
      <c r="G6362">
        <v>1.04</v>
      </c>
      <c r="H6362" t="s">
        <v>106</v>
      </c>
      <c r="I6362" s="1">
        <v>10.86</v>
      </c>
      <c r="J6362" s="1">
        <v>10.31</v>
      </c>
      <c r="K6362" t="s">
        <v>457</v>
      </c>
      <c r="L6362" s="1">
        <v>11.34</v>
      </c>
    </row>
    <row r="6363" spans="1:12">
      <c r="A6363" t="s">
        <v>6055</v>
      </c>
      <c r="B6363">
        <v>429183</v>
      </c>
      <c r="C6363" s="2" t="str">
        <f>"7342"</f>
        <v>7342</v>
      </c>
      <c r="D6363" t="s">
        <v>6434</v>
      </c>
      <c r="E6363" t="s">
        <v>4</v>
      </c>
      <c r="F6363">
        <v>16.68</v>
      </c>
      <c r="G6363">
        <v>1.39</v>
      </c>
      <c r="H6363" t="s">
        <v>106</v>
      </c>
      <c r="I6363" s="1">
        <v>14.04</v>
      </c>
      <c r="J6363" s="1">
        <v>13.34</v>
      </c>
      <c r="K6363" t="s">
        <v>457</v>
      </c>
      <c r="L6363" s="1">
        <v>14.67</v>
      </c>
    </row>
    <row r="6364" spans="1:12">
      <c r="A6364" t="s">
        <v>6055</v>
      </c>
      <c r="B6364">
        <v>429185</v>
      </c>
      <c r="C6364" s="2" t="str">
        <f>"7344"</f>
        <v>7344</v>
      </c>
      <c r="D6364" t="s">
        <v>6435</v>
      </c>
      <c r="E6364" t="s">
        <v>4</v>
      </c>
      <c r="F6364">
        <v>24.36</v>
      </c>
      <c r="G6364">
        <v>2.0299999999999998</v>
      </c>
      <c r="H6364" t="s">
        <v>106</v>
      </c>
      <c r="I6364" s="1">
        <v>20.09</v>
      </c>
      <c r="J6364" s="1">
        <v>19.079999999999998</v>
      </c>
      <c r="K6364" t="s">
        <v>457</v>
      </c>
      <c r="L6364" s="1">
        <v>20.99</v>
      </c>
    </row>
    <row r="6365" spans="1:12">
      <c r="A6365" t="s">
        <v>6055</v>
      </c>
      <c r="B6365">
        <v>537532</v>
      </c>
      <c r="C6365" s="2" t="str">
        <f>"7344C"</f>
        <v>7344C</v>
      </c>
      <c r="D6365" t="s">
        <v>6436</v>
      </c>
      <c r="E6365" t="s">
        <v>4</v>
      </c>
      <c r="F6365">
        <v>4.9800000000000004</v>
      </c>
      <c r="G6365">
        <v>0.83</v>
      </c>
      <c r="H6365" t="s">
        <v>20</v>
      </c>
      <c r="I6365" s="1">
        <v>10.47</v>
      </c>
      <c r="J6365" s="1">
        <v>9.94</v>
      </c>
      <c r="K6365" t="s">
        <v>21</v>
      </c>
      <c r="L6365" s="1">
        <v>10.94</v>
      </c>
    </row>
    <row r="6366" spans="1:12">
      <c r="A6366" t="s">
        <v>6055</v>
      </c>
      <c r="B6366">
        <v>429186</v>
      </c>
      <c r="C6366" s="2" t="str">
        <f>"7345"</f>
        <v>7345</v>
      </c>
      <c r="D6366" t="s">
        <v>6437</v>
      </c>
      <c r="E6366" t="s">
        <v>4</v>
      </c>
      <c r="F6366">
        <v>27.24</v>
      </c>
      <c r="G6366">
        <v>2.27</v>
      </c>
      <c r="H6366" t="s">
        <v>106</v>
      </c>
      <c r="I6366" s="1">
        <v>22.88</v>
      </c>
      <c r="J6366" s="1">
        <v>21.74</v>
      </c>
      <c r="K6366" t="s">
        <v>457</v>
      </c>
      <c r="L6366" s="1">
        <v>23.91</v>
      </c>
    </row>
    <row r="6367" spans="1:12">
      <c r="A6367" t="s">
        <v>6055</v>
      </c>
      <c r="B6367">
        <v>429187</v>
      </c>
      <c r="C6367" s="2" t="str">
        <f>"7347"</f>
        <v>7347</v>
      </c>
      <c r="D6367" t="s">
        <v>6438</v>
      </c>
      <c r="E6367" t="s">
        <v>4</v>
      </c>
      <c r="F6367">
        <v>16.559999999999999</v>
      </c>
      <c r="G6367">
        <v>2.76</v>
      </c>
      <c r="H6367" t="s">
        <v>20</v>
      </c>
      <c r="I6367" s="1">
        <v>30.55</v>
      </c>
      <c r="J6367" s="1">
        <v>29.02</v>
      </c>
      <c r="K6367" t="s">
        <v>457</v>
      </c>
      <c r="L6367" s="1">
        <v>31.92</v>
      </c>
    </row>
    <row r="6368" spans="1:12">
      <c r="A6368" t="s">
        <v>6055</v>
      </c>
      <c r="B6368">
        <v>537536</v>
      </c>
      <c r="C6368" s="2" t="str">
        <f>"7347C"</f>
        <v>7347C</v>
      </c>
      <c r="D6368" t="s">
        <v>6439</v>
      </c>
      <c r="E6368" t="s">
        <v>4</v>
      </c>
      <c r="F6368">
        <v>6.3</v>
      </c>
      <c r="G6368">
        <v>1.05</v>
      </c>
      <c r="H6368" t="s">
        <v>20</v>
      </c>
      <c r="I6368" s="1">
        <v>12.74</v>
      </c>
      <c r="J6368" s="1">
        <v>12.1</v>
      </c>
      <c r="K6368" t="s">
        <v>21</v>
      </c>
      <c r="L6368" s="1">
        <v>13.31</v>
      </c>
    </row>
    <row r="6369" spans="1:12">
      <c r="A6369" t="s">
        <v>6055</v>
      </c>
      <c r="B6369">
        <v>429188</v>
      </c>
      <c r="C6369" s="2" t="str">
        <f>"7348"</f>
        <v>7348</v>
      </c>
      <c r="D6369" t="s">
        <v>6440</v>
      </c>
      <c r="E6369" t="s">
        <v>4</v>
      </c>
      <c r="F6369">
        <v>19.86</v>
      </c>
      <c r="G6369">
        <v>3.31</v>
      </c>
      <c r="H6369" t="s">
        <v>20</v>
      </c>
      <c r="I6369" s="1">
        <v>35.43</v>
      </c>
      <c r="J6369" s="1">
        <v>33.65</v>
      </c>
      <c r="K6369" t="s">
        <v>457</v>
      </c>
      <c r="L6369" s="1">
        <v>37.020000000000003</v>
      </c>
    </row>
    <row r="6370" spans="1:12">
      <c r="A6370" t="s">
        <v>6055</v>
      </c>
      <c r="B6370">
        <v>537537</v>
      </c>
      <c r="C6370" s="2" t="str">
        <f>"7348C"</f>
        <v>7348C</v>
      </c>
      <c r="D6370" t="s">
        <v>6441</v>
      </c>
      <c r="E6370" t="s">
        <v>4</v>
      </c>
      <c r="F6370">
        <v>6.6</v>
      </c>
      <c r="G6370">
        <v>1.1000000000000001</v>
      </c>
      <c r="H6370" t="s">
        <v>20</v>
      </c>
      <c r="I6370" s="1">
        <v>13.13</v>
      </c>
      <c r="J6370" s="1">
        <v>12.47</v>
      </c>
      <c r="K6370" t="s">
        <v>21</v>
      </c>
      <c r="L6370" s="1">
        <v>13.72</v>
      </c>
    </row>
    <row r="6371" spans="1:12">
      <c r="A6371" t="s">
        <v>6055</v>
      </c>
      <c r="B6371">
        <v>429196</v>
      </c>
      <c r="C6371" s="2" t="str">
        <f>"7350"</f>
        <v>7350</v>
      </c>
      <c r="D6371" t="s">
        <v>6442</v>
      </c>
      <c r="E6371" t="s">
        <v>4</v>
      </c>
      <c r="F6371">
        <v>21.42</v>
      </c>
      <c r="G6371">
        <v>3.57</v>
      </c>
      <c r="H6371" t="s">
        <v>20</v>
      </c>
      <c r="I6371" s="1">
        <v>37.119999999999997</v>
      </c>
      <c r="J6371" s="1">
        <v>35.26</v>
      </c>
      <c r="K6371" t="s">
        <v>457</v>
      </c>
      <c r="L6371" s="1">
        <v>38.79</v>
      </c>
    </row>
    <row r="6372" spans="1:12">
      <c r="A6372" t="s">
        <v>6055</v>
      </c>
      <c r="B6372">
        <v>537538</v>
      </c>
      <c r="C6372" s="2" t="str">
        <f>"7350C"</f>
        <v>7350C</v>
      </c>
      <c r="D6372" t="s">
        <v>6443</v>
      </c>
      <c r="E6372" t="s">
        <v>4</v>
      </c>
      <c r="F6372">
        <v>7.86</v>
      </c>
      <c r="G6372">
        <v>1.31</v>
      </c>
      <c r="H6372" t="s">
        <v>20</v>
      </c>
      <c r="I6372" s="1">
        <v>13.85</v>
      </c>
      <c r="J6372" s="1">
        <v>13.15</v>
      </c>
      <c r="K6372" t="s">
        <v>21</v>
      </c>
      <c r="L6372" s="1">
        <v>14.47</v>
      </c>
    </row>
    <row r="6373" spans="1:12">
      <c r="A6373" t="s">
        <v>6055</v>
      </c>
      <c r="B6373">
        <v>537539</v>
      </c>
      <c r="C6373" s="2" t="str">
        <f>"7351C"</f>
        <v>7351C</v>
      </c>
      <c r="D6373" t="s">
        <v>6444</v>
      </c>
      <c r="E6373" t="s">
        <v>4</v>
      </c>
      <c r="F6373">
        <v>7.68</v>
      </c>
      <c r="G6373">
        <v>1.28</v>
      </c>
      <c r="H6373" t="s">
        <v>20</v>
      </c>
      <c r="I6373" s="1">
        <v>17.489999999999998</v>
      </c>
      <c r="J6373" s="1">
        <v>16.61</v>
      </c>
      <c r="K6373" t="s">
        <v>21</v>
      </c>
      <c r="L6373" s="1">
        <v>18.27</v>
      </c>
    </row>
    <row r="6374" spans="1:12">
      <c r="A6374" t="s">
        <v>6055</v>
      </c>
      <c r="B6374">
        <v>429221</v>
      </c>
      <c r="C6374" s="2" t="str">
        <f>"7373"</f>
        <v>7373</v>
      </c>
      <c r="D6374" t="s">
        <v>6445</v>
      </c>
      <c r="E6374" t="s">
        <v>4</v>
      </c>
      <c r="F6374">
        <v>4.54</v>
      </c>
      <c r="H6374" t="s">
        <v>5</v>
      </c>
      <c r="I6374" s="1">
        <v>46.09</v>
      </c>
      <c r="J6374" s="1">
        <v>43.78</v>
      </c>
      <c r="K6374" t="s">
        <v>6</v>
      </c>
    </row>
    <row r="6375" spans="1:12">
      <c r="A6375" t="s">
        <v>6055</v>
      </c>
      <c r="B6375">
        <v>429223</v>
      </c>
      <c r="C6375" s="2" t="str">
        <f>"7374"</f>
        <v>7374</v>
      </c>
      <c r="D6375" t="s">
        <v>6446</v>
      </c>
      <c r="E6375" t="s">
        <v>4</v>
      </c>
      <c r="F6375">
        <v>5.07</v>
      </c>
      <c r="H6375" t="s">
        <v>5</v>
      </c>
      <c r="I6375" s="1">
        <v>58.63</v>
      </c>
      <c r="J6375" s="1">
        <v>55.7</v>
      </c>
      <c r="K6375" t="s">
        <v>6</v>
      </c>
    </row>
    <row r="6376" spans="1:12">
      <c r="A6376" t="s">
        <v>6055</v>
      </c>
      <c r="B6376">
        <v>429224</v>
      </c>
      <c r="C6376" s="2" t="str">
        <f>"7375"</f>
        <v>7375</v>
      </c>
      <c r="D6376" t="s">
        <v>6447</v>
      </c>
      <c r="E6376" t="s">
        <v>4</v>
      </c>
      <c r="F6376">
        <v>6.17</v>
      </c>
      <c r="H6376" t="s">
        <v>5</v>
      </c>
      <c r="I6376" s="1">
        <v>65.52</v>
      </c>
      <c r="J6376" s="1">
        <v>62.24</v>
      </c>
      <c r="K6376" t="s">
        <v>6</v>
      </c>
    </row>
    <row r="6377" spans="1:12">
      <c r="A6377" t="s">
        <v>6055</v>
      </c>
      <c r="B6377">
        <v>429212</v>
      </c>
      <c r="C6377" s="2" t="str">
        <f>"7389"</f>
        <v>7389</v>
      </c>
      <c r="D6377" t="s">
        <v>6448</v>
      </c>
      <c r="E6377" t="s">
        <v>4</v>
      </c>
      <c r="F6377">
        <v>4.8</v>
      </c>
      <c r="G6377">
        <v>0.8</v>
      </c>
      <c r="H6377" t="s">
        <v>20</v>
      </c>
      <c r="I6377" s="1">
        <v>9.82</v>
      </c>
      <c r="J6377" s="1">
        <v>9.32</v>
      </c>
      <c r="K6377" t="s">
        <v>457</v>
      </c>
      <c r="L6377" s="1">
        <v>10.26</v>
      </c>
    </row>
    <row r="6378" spans="1:12">
      <c r="A6378" t="s">
        <v>6055</v>
      </c>
      <c r="B6378">
        <v>429217</v>
      </c>
      <c r="C6378" s="2" t="str">
        <f>"7392"</f>
        <v>7392</v>
      </c>
      <c r="D6378" t="s">
        <v>6449</v>
      </c>
      <c r="E6378" t="s">
        <v>4</v>
      </c>
      <c r="F6378">
        <v>6.48</v>
      </c>
      <c r="G6378">
        <v>1.08</v>
      </c>
      <c r="H6378" t="s">
        <v>20</v>
      </c>
      <c r="I6378" s="1">
        <v>13.78</v>
      </c>
      <c r="J6378" s="1">
        <v>13.09</v>
      </c>
      <c r="K6378" t="s">
        <v>457</v>
      </c>
      <c r="L6378" s="1">
        <v>14.4</v>
      </c>
    </row>
    <row r="6379" spans="1:12">
      <c r="A6379" t="s">
        <v>6055</v>
      </c>
      <c r="B6379">
        <v>429218</v>
      </c>
      <c r="C6379" s="2" t="str">
        <f>"7393"</f>
        <v>7393</v>
      </c>
      <c r="D6379" t="s">
        <v>6450</v>
      </c>
      <c r="E6379" t="s">
        <v>4</v>
      </c>
      <c r="F6379">
        <v>7.62</v>
      </c>
      <c r="G6379">
        <v>1.27</v>
      </c>
      <c r="H6379" t="s">
        <v>20</v>
      </c>
      <c r="I6379" s="1">
        <v>17.16</v>
      </c>
      <c r="J6379" s="1">
        <v>16.3</v>
      </c>
      <c r="K6379" t="s">
        <v>457</v>
      </c>
      <c r="L6379" s="1">
        <v>17.93</v>
      </c>
    </row>
    <row r="6380" spans="1:12">
      <c r="A6380" t="s">
        <v>6055</v>
      </c>
      <c r="B6380">
        <v>379845</v>
      </c>
      <c r="C6380" s="2" t="str">
        <f>"75012"</f>
        <v>75012</v>
      </c>
      <c r="D6380" t="s">
        <v>6451</v>
      </c>
      <c r="E6380" t="s">
        <v>4</v>
      </c>
      <c r="F6380">
        <v>2.2799999999999998</v>
      </c>
      <c r="G6380">
        <v>0.19</v>
      </c>
      <c r="H6380" t="s">
        <v>106</v>
      </c>
      <c r="I6380" s="1">
        <v>4.75</v>
      </c>
      <c r="J6380" s="1">
        <v>4.51</v>
      </c>
      <c r="K6380" t="s">
        <v>457</v>
      </c>
      <c r="L6380" s="1">
        <v>4.96</v>
      </c>
    </row>
    <row r="6381" spans="1:12">
      <c r="A6381" t="s">
        <v>6055</v>
      </c>
      <c r="B6381">
        <v>379849</v>
      </c>
      <c r="C6381" s="2" t="str">
        <f>"75020"</f>
        <v>75020</v>
      </c>
      <c r="D6381" t="s">
        <v>6452</v>
      </c>
      <c r="E6381" t="s">
        <v>4</v>
      </c>
      <c r="F6381">
        <v>3.6</v>
      </c>
      <c r="G6381">
        <v>0.3</v>
      </c>
      <c r="H6381" t="s">
        <v>106</v>
      </c>
      <c r="I6381" s="1">
        <v>7.22</v>
      </c>
      <c r="J6381" s="1">
        <v>6.85</v>
      </c>
      <c r="K6381" t="s">
        <v>457</v>
      </c>
      <c r="L6381" s="1">
        <v>7.54</v>
      </c>
    </row>
    <row r="6382" spans="1:12">
      <c r="A6382" t="s">
        <v>6055</v>
      </c>
      <c r="B6382">
        <v>379851</v>
      </c>
      <c r="C6382" s="2" t="str">
        <f>"75120"</f>
        <v>75120</v>
      </c>
      <c r="D6382" t="s">
        <v>6453</v>
      </c>
      <c r="E6382" t="s">
        <v>4</v>
      </c>
      <c r="F6382">
        <v>7.2</v>
      </c>
      <c r="G6382">
        <v>1.2</v>
      </c>
      <c r="H6382" t="s">
        <v>20</v>
      </c>
      <c r="I6382" s="1">
        <v>13.65</v>
      </c>
      <c r="J6382" s="1">
        <v>12.97</v>
      </c>
      <c r="K6382" t="s">
        <v>457</v>
      </c>
      <c r="L6382" s="1">
        <v>14.26</v>
      </c>
    </row>
    <row r="6383" spans="1:12">
      <c r="A6383" t="s">
        <v>6055</v>
      </c>
      <c r="B6383">
        <v>379853</v>
      </c>
      <c r="C6383" s="2" t="str">
        <f>"75130"</f>
        <v>75130</v>
      </c>
      <c r="D6383" t="s">
        <v>6454</v>
      </c>
      <c r="E6383" t="s">
        <v>4</v>
      </c>
      <c r="F6383">
        <v>5.0999999999999996</v>
      </c>
      <c r="G6383">
        <v>0.85</v>
      </c>
      <c r="H6383" t="s">
        <v>20</v>
      </c>
      <c r="I6383" s="1">
        <v>11.96</v>
      </c>
      <c r="J6383" s="1">
        <v>11.36</v>
      </c>
      <c r="K6383" t="s">
        <v>457</v>
      </c>
      <c r="L6383" s="1">
        <v>12.5</v>
      </c>
    </row>
    <row r="6384" spans="1:12">
      <c r="A6384" t="s">
        <v>6055</v>
      </c>
      <c r="B6384">
        <v>379857</v>
      </c>
      <c r="C6384" s="2" t="str">
        <f>"75140"</f>
        <v>75140</v>
      </c>
      <c r="D6384" t="s">
        <v>6455</v>
      </c>
      <c r="E6384" t="s">
        <v>4</v>
      </c>
      <c r="F6384">
        <v>3.72</v>
      </c>
      <c r="G6384">
        <v>0.62</v>
      </c>
      <c r="H6384" t="s">
        <v>20</v>
      </c>
      <c r="I6384" s="1">
        <v>9.9499999999999993</v>
      </c>
      <c r="J6384" s="1">
        <v>9.4499999999999993</v>
      </c>
      <c r="K6384" t="s">
        <v>457</v>
      </c>
      <c r="L6384" s="1">
        <v>10.39</v>
      </c>
    </row>
    <row r="6385" spans="1:12">
      <c r="A6385" t="s">
        <v>6055</v>
      </c>
      <c r="B6385">
        <v>379859</v>
      </c>
      <c r="C6385" s="2" t="str">
        <f>"75160"</f>
        <v>75160</v>
      </c>
      <c r="D6385" t="s">
        <v>6456</v>
      </c>
      <c r="E6385" t="s">
        <v>4</v>
      </c>
      <c r="F6385">
        <v>2.58</v>
      </c>
      <c r="G6385">
        <v>0.43</v>
      </c>
      <c r="H6385" t="s">
        <v>20</v>
      </c>
      <c r="I6385" s="1">
        <v>8.06</v>
      </c>
      <c r="J6385" s="1">
        <v>7.66</v>
      </c>
      <c r="K6385" t="s">
        <v>457</v>
      </c>
      <c r="L6385" s="1">
        <v>8.42</v>
      </c>
    </row>
    <row r="6386" spans="1:12">
      <c r="A6386" t="s">
        <v>6055</v>
      </c>
      <c r="B6386">
        <v>442303</v>
      </c>
      <c r="C6386" s="2" t="str">
        <f>"75210"</f>
        <v>75210</v>
      </c>
      <c r="D6386" t="s">
        <v>6457</v>
      </c>
      <c r="E6386" t="s">
        <v>4</v>
      </c>
      <c r="F6386">
        <v>15.18</v>
      </c>
      <c r="G6386">
        <v>2.5299999999999998</v>
      </c>
      <c r="H6386" t="s">
        <v>20</v>
      </c>
      <c r="I6386" s="1">
        <v>29.25</v>
      </c>
      <c r="J6386" s="1">
        <v>27.79</v>
      </c>
      <c r="K6386" t="s">
        <v>457</v>
      </c>
      <c r="L6386" s="1">
        <v>30.57</v>
      </c>
    </row>
    <row r="6387" spans="1:12">
      <c r="A6387" t="s">
        <v>6055</v>
      </c>
      <c r="B6387">
        <v>379865</v>
      </c>
      <c r="C6387" s="2" t="str">
        <f>"75220"</f>
        <v>75220</v>
      </c>
      <c r="D6387" t="s">
        <v>6458</v>
      </c>
      <c r="E6387" t="s">
        <v>4</v>
      </c>
      <c r="F6387">
        <v>7.2</v>
      </c>
      <c r="G6387">
        <v>1.2</v>
      </c>
      <c r="H6387" t="s">
        <v>20</v>
      </c>
      <c r="I6387" s="1">
        <v>14.04</v>
      </c>
      <c r="J6387" s="1">
        <v>13.34</v>
      </c>
      <c r="K6387" t="s">
        <v>457</v>
      </c>
      <c r="L6387" s="1">
        <v>14.67</v>
      </c>
    </row>
    <row r="6388" spans="1:12">
      <c r="A6388" t="s">
        <v>6055</v>
      </c>
      <c r="B6388">
        <v>379867</v>
      </c>
      <c r="C6388" s="2" t="str">
        <f>"75230"</f>
        <v>75230</v>
      </c>
      <c r="D6388" t="s">
        <v>6459</v>
      </c>
      <c r="E6388" t="s">
        <v>4</v>
      </c>
      <c r="F6388">
        <v>4.92</v>
      </c>
      <c r="G6388">
        <v>0.82</v>
      </c>
      <c r="H6388" t="s">
        <v>20</v>
      </c>
      <c r="I6388" s="1">
        <v>11.96</v>
      </c>
      <c r="J6388" s="1">
        <v>11.36</v>
      </c>
      <c r="K6388" t="s">
        <v>457</v>
      </c>
      <c r="L6388" s="1">
        <v>12.5</v>
      </c>
    </row>
    <row r="6389" spans="1:12">
      <c r="A6389" t="s">
        <v>6055</v>
      </c>
      <c r="B6389">
        <v>379869</v>
      </c>
      <c r="C6389" s="2" t="str">
        <f>"75240"</f>
        <v>75240</v>
      </c>
      <c r="D6389" t="s">
        <v>6460</v>
      </c>
      <c r="E6389" t="s">
        <v>4</v>
      </c>
      <c r="F6389">
        <v>3.6</v>
      </c>
      <c r="G6389">
        <v>0.6</v>
      </c>
      <c r="H6389" t="s">
        <v>20</v>
      </c>
      <c r="I6389" s="1">
        <v>10.6</v>
      </c>
      <c r="J6389" s="1">
        <v>10.07</v>
      </c>
      <c r="K6389" t="s">
        <v>457</v>
      </c>
      <c r="L6389" s="1">
        <v>11.07</v>
      </c>
    </row>
    <row r="6390" spans="1:12">
      <c r="A6390" t="s">
        <v>6055</v>
      </c>
      <c r="B6390">
        <v>379873</v>
      </c>
      <c r="C6390" s="2" t="str">
        <f>"75260"</f>
        <v>75260</v>
      </c>
      <c r="D6390" t="s">
        <v>6461</v>
      </c>
      <c r="E6390" t="s">
        <v>4</v>
      </c>
      <c r="F6390">
        <v>2.7</v>
      </c>
      <c r="G6390">
        <v>0.45</v>
      </c>
      <c r="H6390" t="s">
        <v>20</v>
      </c>
      <c r="I6390" s="1">
        <v>8.06</v>
      </c>
      <c r="J6390" s="1">
        <v>7.66</v>
      </c>
      <c r="K6390" t="s">
        <v>457</v>
      </c>
      <c r="L6390" s="1">
        <v>8.42</v>
      </c>
    </row>
    <row r="6391" spans="1:12">
      <c r="A6391" t="s">
        <v>6055</v>
      </c>
      <c r="B6391">
        <v>388609</v>
      </c>
      <c r="C6391" s="2" t="str">
        <f>"77110"</f>
        <v>77110</v>
      </c>
      <c r="D6391" t="s">
        <v>6462</v>
      </c>
      <c r="E6391" t="s">
        <v>4</v>
      </c>
      <c r="F6391">
        <v>8.1999999999999993</v>
      </c>
      <c r="H6391" t="s">
        <v>5</v>
      </c>
      <c r="I6391" s="1">
        <v>237.9</v>
      </c>
      <c r="J6391" s="1">
        <v>226.01</v>
      </c>
      <c r="K6391" t="s">
        <v>6</v>
      </c>
    </row>
    <row r="6392" spans="1:12">
      <c r="A6392" t="s">
        <v>6055</v>
      </c>
      <c r="B6392">
        <v>368235</v>
      </c>
      <c r="C6392" s="2" t="str">
        <f>"77200"</f>
        <v>77200</v>
      </c>
      <c r="D6392" t="s">
        <v>6463</v>
      </c>
      <c r="E6392" t="s">
        <v>4</v>
      </c>
      <c r="F6392">
        <v>0.57999999999999996</v>
      </c>
      <c r="H6392" t="s">
        <v>5</v>
      </c>
      <c r="I6392" s="1">
        <v>45.7</v>
      </c>
      <c r="J6392" s="1">
        <v>43.41</v>
      </c>
      <c r="K6392" t="s">
        <v>6</v>
      </c>
    </row>
    <row r="6393" spans="1:12">
      <c r="A6393" t="s">
        <v>6055</v>
      </c>
      <c r="B6393">
        <v>379875</v>
      </c>
      <c r="C6393" s="2" t="str">
        <f>"77250"</f>
        <v>77250</v>
      </c>
      <c r="D6393" t="s">
        <v>6464</v>
      </c>
      <c r="E6393" t="s">
        <v>4</v>
      </c>
      <c r="F6393">
        <v>15.6</v>
      </c>
      <c r="G6393">
        <v>2.6</v>
      </c>
      <c r="H6393" t="s">
        <v>20</v>
      </c>
      <c r="I6393" s="1">
        <v>28.21</v>
      </c>
      <c r="J6393" s="1">
        <v>26.8</v>
      </c>
      <c r="K6393" t="s">
        <v>457</v>
      </c>
      <c r="L6393" s="1">
        <v>29.48</v>
      </c>
    </row>
    <row r="6394" spans="1:12">
      <c r="A6394" t="s">
        <v>6055</v>
      </c>
      <c r="B6394">
        <v>368315</v>
      </c>
      <c r="C6394" s="2" t="str">
        <f>"77400"</f>
        <v>77400</v>
      </c>
      <c r="D6394" t="s">
        <v>6465</v>
      </c>
      <c r="E6394" t="s">
        <v>4</v>
      </c>
      <c r="F6394">
        <v>4.5999999999999996</v>
      </c>
      <c r="H6394" t="s">
        <v>5</v>
      </c>
      <c r="I6394" s="1">
        <v>71.7</v>
      </c>
      <c r="J6394" s="1">
        <v>68.11</v>
      </c>
      <c r="K6394" t="s">
        <v>6</v>
      </c>
    </row>
    <row r="6395" spans="1:12">
      <c r="A6395" t="s">
        <v>6055</v>
      </c>
      <c r="B6395">
        <v>379876</v>
      </c>
      <c r="C6395" s="2" t="str">
        <f>"78150"</f>
        <v>78150</v>
      </c>
      <c r="D6395" t="s">
        <v>6466</v>
      </c>
      <c r="E6395" t="s">
        <v>4</v>
      </c>
      <c r="F6395">
        <v>1.5</v>
      </c>
      <c r="G6395">
        <v>0.25</v>
      </c>
      <c r="H6395" t="s">
        <v>20</v>
      </c>
      <c r="I6395" s="1">
        <v>8.06</v>
      </c>
      <c r="J6395" s="1">
        <v>7.66</v>
      </c>
      <c r="K6395" t="s">
        <v>457</v>
      </c>
      <c r="L6395" s="1">
        <v>8.42</v>
      </c>
    </row>
    <row r="6396" spans="1:12">
      <c r="A6396" t="s">
        <v>6055</v>
      </c>
      <c r="B6396">
        <v>379880</v>
      </c>
      <c r="C6396" s="2" t="str">
        <f>"78154"</f>
        <v>78154</v>
      </c>
      <c r="D6396" t="s">
        <v>6467</v>
      </c>
      <c r="E6396" t="s">
        <v>4</v>
      </c>
      <c r="F6396">
        <v>5.82</v>
      </c>
      <c r="G6396">
        <v>0.97</v>
      </c>
      <c r="H6396" t="s">
        <v>20</v>
      </c>
      <c r="I6396" s="1">
        <v>17.809999999999999</v>
      </c>
      <c r="J6396" s="1">
        <v>16.920000000000002</v>
      </c>
      <c r="K6396" t="s">
        <v>457</v>
      </c>
      <c r="L6396" s="1">
        <v>18.61</v>
      </c>
    </row>
    <row r="6397" spans="1:12">
      <c r="A6397" t="s">
        <v>6055</v>
      </c>
      <c r="B6397">
        <v>387861</v>
      </c>
      <c r="C6397" s="2" t="str">
        <f>"78160"</f>
        <v>78160</v>
      </c>
      <c r="D6397" t="s">
        <v>6468</v>
      </c>
      <c r="E6397" t="s">
        <v>4</v>
      </c>
      <c r="F6397">
        <v>2.4</v>
      </c>
      <c r="G6397">
        <v>0.4</v>
      </c>
      <c r="H6397" t="s">
        <v>20</v>
      </c>
      <c r="I6397" s="1">
        <v>8.4499999999999993</v>
      </c>
      <c r="J6397" s="1">
        <v>8.0299999999999994</v>
      </c>
      <c r="K6397" t="s">
        <v>457</v>
      </c>
      <c r="L6397" s="1">
        <v>8.83</v>
      </c>
    </row>
    <row r="6398" spans="1:12">
      <c r="A6398" t="s">
        <v>6055</v>
      </c>
      <c r="B6398">
        <v>379883</v>
      </c>
      <c r="C6398" s="2" t="str">
        <f>"78164"</f>
        <v>78164</v>
      </c>
      <c r="D6398" t="s">
        <v>6469</v>
      </c>
      <c r="E6398" t="s">
        <v>4</v>
      </c>
      <c r="F6398">
        <v>7.38</v>
      </c>
      <c r="G6398">
        <v>1.23</v>
      </c>
      <c r="H6398" t="s">
        <v>20</v>
      </c>
      <c r="I6398" s="1">
        <v>19.11</v>
      </c>
      <c r="J6398" s="1">
        <v>18.149999999999999</v>
      </c>
      <c r="K6398" t="s">
        <v>457</v>
      </c>
      <c r="L6398" s="1">
        <v>19.97</v>
      </c>
    </row>
    <row r="6399" spans="1:12">
      <c r="A6399" t="s">
        <v>6055</v>
      </c>
      <c r="B6399">
        <v>379885</v>
      </c>
      <c r="C6399" s="2" t="str">
        <f>"78180"</f>
        <v>78180</v>
      </c>
      <c r="D6399" t="s">
        <v>6470</v>
      </c>
      <c r="E6399" t="s">
        <v>4</v>
      </c>
      <c r="F6399">
        <v>3.72</v>
      </c>
      <c r="G6399">
        <v>0.62</v>
      </c>
      <c r="H6399" t="s">
        <v>20</v>
      </c>
      <c r="I6399" s="1">
        <v>9.9499999999999993</v>
      </c>
      <c r="J6399" s="1">
        <v>9.4499999999999993</v>
      </c>
      <c r="K6399" t="s">
        <v>457</v>
      </c>
      <c r="L6399" s="1">
        <v>10.39</v>
      </c>
    </row>
    <row r="6400" spans="1:12">
      <c r="A6400" t="s">
        <v>6055</v>
      </c>
      <c r="B6400">
        <v>379886</v>
      </c>
      <c r="C6400" s="2" t="str">
        <f>"78184"</f>
        <v>78184</v>
      </c>
      <c r="D6400" t="s">
        <v>6471</v>
      </c>
      <c r="E6400" t="s">
        <v>4</v>
      </c>
      <c r="F6400">
        <v>10.32</v>
      </c>
      <c r="G6400">
        <v>1.72</v>
      </c>
      <c r="H6400" t="s">
        <v>20</v>
      </c>
      <c r="I6400" s="1">
        <v>22.49</v>
      </c>
      <c r="J6400" s="1">
        <v>21.37</v>
      </c>
      <c r="K6400" t="s">
        <v>457</v>
      </c>
      <c r="L6400" s="1">
        <v>23.5</v>
      </c>
    </row>
    <row r="6401" spans="1:12">
      <c r="A6401" t="s">
        <v>6055</v>
      </c>
      <c r="B6401">
        <v>379890</v>
      </c>
      <c r="C6401" s="2" t="str">
        <f>"78200"</f>
        <v>78200</v>
      </c>
      <c r="D6401" t="s">
        <v>6472</v>
      </c>
      <c r="E6401" t="s">
        <v>4</v>
      </c>
      <c r="F6401">
        <v>5.0999999999999996</v>
      </c>
      <c r="G6401">
        <v>0.85</v>
      </c>
      <c r="H6401" t="s">
        <v>20</v>
      </c>
      <c r="I6401" s="1">
        <v>12.48</v>
      </c>
      <c r="J6401" s="1">
        <v>11.86</v>
      </c>
      <c r="K6401" t="s">
        <v>457</v>
      </c>
      <c r="L6401" s="1">
        <v>13.04</v>
      </c>
    </row>
    <row r="6402" spans="1:12">
      <c r="A6402" t="s">
        <v>6055</v>
      </c>
      <c r="B6402">
        <v>379892</v>
      </c>
      <c r="C6402" s="2" t="str">
        <f>"78204"</f>
        <v>78204</v>
      </c>
      <c r="D6402" t="s">
        <v>6473</v>
      </c>
      <c r="E6402" t="s">
        <v>4</v>
      </c>
      <c r="F6402">
        <v>13.62</v>
      </c>
      <c r="G6402">
        <v>2.27</v>
      </c>
      <c r="H6402" t="s">
        <v>20</v>
      </c>
      <c r="I6402" s="1">
        <v>26.46</v>
      </c>
      <c r="J6402" s="1">
        <v>25.13</v>
      </c>
      <c r="K6402" t="s">
        <v>457</v>
      </c>
      <c r="L6402" s="1">
        <v>27.65</v>
      </c>
    </row>
    <row r="6403" spans="1:12">
      <c r="A6403" t="s">
        <v>6055</v>
      </c>
      <c r="B6403">
        <v>380853</v>
      </c>
      <c r="C6403" s="2" t="str">
        <f>"802-12"</f>
        <v>802-12</v>
      </c>
      <c r="D6403" t="s">
        <v>6474</v>
      </c>
      <c r="E6403" t="s">
        <v>4</v>
      </c>
      <c r="F6403">
        <v>3</v>
      </c>
      <c r="H6403" t="s">
        <v>5</v>
      </c>
      <c r="I6403" s="1">
        <v>40.56</v>
      </c>
      <c r="J6403" s="1">
        <v>38.53</v>
      </c>
      <c r="K6403" t="s">
        <v>6</v>
      </c>
    </row>
    <row r="6404" spans="1:12">
      <c r="A6404" t="s">
        <v>6055</v>
      </c>
      <c r="B6404">
        <v>380484</v>
      </c>
      <c r="C6404" s="2" t="str">
        <f>"81180"</f>
        <v>81180</v>
      </c>
      <c r="D6404" t="s">
        <v>6475</v>
      </c>
      <c r="E6404" t="s">
        <v>4</v>
      </c>
      <c r="F6404">
        <v>15</v>
      </c>
      <c r="H6404" t="s">
        <v>5</v>
      </c>
      <c r="I6404" s="1">
        <v>329.16</v>
      </c>
      <c r="J6404" s="1">
        <v>312.7</v>
      </c>
      <c r="K6404" t="s">
        <v>6</v>
      </c>
    </row>
    <row r="6405" spans="1:12">
      <c r="A6405" t="s">
        <v>6055</v>
      </c>
      <c r="B6405">
        <v>380493</v>
      </c>
      <c r="C6405" s="2" t="str">
        <f>"81190"</f>
        <v>81190</v>
      </c>
      <c r="D6405" t="s">
        <v>6476</v>
      </c>
      <c r="E6405" t="s">
        <v>4</v>
      </c>
      <c r="F6405">
        <v>16</v>
      </c>
      <c r="H6405" t="s">
        <v>5</v>
      </c>
      <c r="I6405" s="1">
        <v>156</v>
      </c>
      <c r="J6405" s="1">
        <v>148.19999999999999</v>
      </c>
      <c r="K6405" t="s">
        <v>6</v>
      </c>
    </row>
    <row r="6406" spans="1:12">
      <c r="A6406" t="s">
        <v>6055</v>
      </c>
      <c r="B6406">
        <v>369607</v>
      </c>
      <c r="C6406" s="2" t="str">
        <f>"9001"</f>
        <v>9001</v>
      </c>
      <c r="D6406" t="s">
        <v>6477</v>
      </c>
      <c r="E6406" t="s">
        <v>4</v>
      </c>
      <c r="F6406">
        <v>52.1</v>
      </c>
      <c r="H6406" t="s">
        <v>5</v>
      </c>
      <c r="I6406" s="1">
        <v>177.47</v>
      </c>
      <c r="J6406" s="1">
        <v>170.07</v>
      </c>
      <c r="K6406" t="s">
        <v>6</v>
      </c>
    </row>
    <row r="6407" spans="1:12">
      <c r="A6407" t="s">
        <v>6055</v>
      </c>
      <c r="B6407">
        <v>369599</v>
      </c>
      <c r="C6407" s="2" t="str">
        <f>"9002"</f>
        <v>9002</v>
      </c>
      <c r="D6407" t="s">
        <v>6478</v>
      </c>
      <c r="E6407" t="s">
        <v>4</v>
      </c>
      <c r="F6407">
        <v>45.5</v>
      </c>
      <c r="H6407" t="s">
        <v>5</v>
      </c>
      <c r="I6407" s="1">
        <v>145.27000000000001</v>
      </c>
      <c r="J6407" s="1">
        <v>139.21</v>
      </c>
      <c r="K6407" t="s">
        <v>6</v>
      </c>
    </row>
    <row r="6408" spans="1:12">
      <c r="A6408" t="s">
        <v>6055</v>
      </c>
      <c r="B6408">
        <v>432415</v>
      </c>
      <c r="C6408" s="2" t="str">
        <f>"90022"</f>
        <v>90022</v>
      </c>
      <c r="D6408" t="s">
        <v>6479</v>
      </c>
      <c r="E6408" t="s">
        <v>4</v>
      </c>
      <c r="F6408">
        <v>18.3</v>
      </c>
      <c r="G6408">
        <v>3.05</v>
      </c>
      <c r="H6408" t="s">
        <v>20</v>
      </c>
      <c r="I6408" s="1">
        <v>22.23</v>
      </c>
      <c r="J6408" s="1">
        <v>21.12</v>
      </c>
      <c r="K6408" t="s">
        <v>457</v>
      </c>
      <c r="L6408" s="1">
        <v>23.23</v>
      </c>
    </row>
    <row r="6409" spans="1:12">
      <c r="A6409" t="s">
        <v>6055</v>
      </c>
      <c r="B6409">
        <v>432416</v>
      </c>
      <c r="C6409" s="2" t="str">
        <f>"90023"</f>
        <v>90023</v>
      </c>
      <c r="D6409" t="s">
        <v>6480</v>
      </c>
      <c r="E6409" t="s">
        <v>4</v>
      </c>
      <c r="F6409">
        <v>16.98</v>
      </c>
      <c r="G6409">
        <v>2.83</v>
      </c>
      <c r="H6409" t="s">
        <v>20</v>
      </c>
      <c r="I6409" s="1">
        <v>35.04</v>
      </c>
      <c r="J6409" s="1">
        <v>33.28</v>
      </c>
      <c r="K6409" t="s">
        <v>457</v>
      </c>
      <c r="L6409" s="1">
        <v>36.61</v>
      </c>
    </row>
    <row r="6410" spans="1:12">
      <c r="A6410" t="s">
        <v>6055</v>
      </c>
      <c r="B6410">
        <v>378485</v>
      </c>
      <c r="C6410" s="2" t="str">
        <f>"9002P"</f>
        <v>9002P</v>
      </c>
      <c r="D6410" t="s">
        <v>6481</v>
      </c>
      <c r="E6410" t="s">
        <v>4</v>
      </c>
      <c r="F6410">
        <v>37.4</v>
      </c>
      <c r="H6410" t="s">
        <v>5</v>
      </c>
      <c r="I6410" s="1">
        <v>215.65</v>
      </c>
      <c r="J6410" s="1">
        <v>206.67</v>
      </c>
      <c r="K6410" t="s">
        <v>6</v>
      </c>
    </row>
    <row r="6411" spans="1:12">
      <c r="A6411" t="s">
        <v>6055</v>
      </c>
      <c r="B6411">
        <v>381404</v>
      </c>
      <c r="C6411" s="2" t="str">
        <f>"9003"</f>
        <v>9003</v>
      </c>
      <c r="D6411" t="s">
        <v>6482</v>
      </c>
      <c r="E6411" t="s">
        <v>4</v>
      </c>
      <c r="F6411">
        <v>40</v>
      </c>
      <c r="H6411" t="s">
        <v>5</v>
      </c>
      <c r="I6411" s="1">
        <v>125.8</v>
      </c>
      <c r="J6411" s="1">
        <v>120.56</v>
      </c>
      <c r="K6411" t="s">
        <v>6</v>
      </c>
    </row>
    <row r="6412" spans="1:12">
      <c r="A6412" t="s">
        <v>6055</v>
      </c>
      <c r="B6412">
        <v>432418</v>
      </c>
      <c r="C6412" s="2" t="str">
        <f>"90042"</f>
        <v>90042</v>
      </c>
      <c r="D6412" t="s">
        <v>6483</v>
      </c>
      <c r="E6412" t="s">
        <v>4</v>
      </c>
      <c r="F6412">
        <v>19.079999999999998</v>
      </c>
      <c r="G6412">
        <v>3.18</v>
      </c>
      <c r="H6412" t="s">
        <v>20</v>
      </c>
      <c r="I6412" s="1">
        <v>29.77</v>
      </c>
      <c r="J6412" s="1">
        <v>28.28</v>
      </c>
      <c r="K6412" t="s">
        <v>457</v>
      </c>
      <c r="L6412" s="1">
        <v>31.11</v>
      </c>
    </row>
    <row r="6413" spans="1:12">
      <c r="A6413" t="s">
        <v>6055</v>
      </c>
      <c r="B6413">
        <v>432417</v>
      </c>
      <c r="C6413" s="2" t="str">
        <f>"90043"</f>
        <v>90043</v>
      </c>
      <c r="D6413" t="s">
        <v>6484</v>
      </c>
      <c r="E6413" t="s">
        <v>4</v>
      </c>
      <c r="F6413">
        <v>19.920000000000002</v>
      </c>
      <c r="G6413">
        <v>3.32</v>
      </c>
      <c r="H6413" t="s">
        <v>20</v>
      </c>
      <c r="I6413" s="1">
        <v>44.01</v>
      </c>
      <c r="J6413" s="1">
        <v>41.8</v>
      </c>
      <c r="K6413" t="s">
        <v>457</v>
      </c>
      <c r="L6413" s="1">
        <v>45.99</v>
      </c>
    </row>
    <row r="6414" spans="1:12">
      <c r="A6414" t="s">
        <v>6055</v>
      </c>
      <c r="B6414">
        <v>432419</v>
      </c>
      <c r="C6414" s="2" t="str">
        <f>"90062"</f>
        <v>90062</v>
      </c>
      <c r="D6414" t="s">
        <v>6485</v>
      </c>
      <c r="E6414" t="s">
        <v>4</v>
      </c>
      <c r="F6414">
        <v>24</v>
      </c>
      <c r="G6414">
        <v>4</v>
      </c>
      <c r="H6414" t="s">
        <v>20</v>
      </c>
      <c r="I6414" s="1">
        <v>44.46</v>
      </c>
      <c r="J6414" s="1">
        <v>42.24</v>
      </c>
      <c r="K6414" t="s">
        <v>457</v>
      </c>
      <c r="L6414" s="1">
        <v>46.46</v>
      </c>
    </row>
    <row r="6415" spans="1:12">
      <c r="A6415" t="s">
        <v>6055</v>
      </c>
      <c r="B6415">
        <v>432423</v>
      </c>
      <c r="C6415" s="2" t="str">
        <f>"90222"</f>
        <v>90222</v>
      </c>
      <c r="D6415" t="s">
        <v>6486</v>
      </c>
      <c r="E6415" t="s">
        <v>4</v>
      </c>
      <c r="F6415">
        <v>9.48</v>
      </c>
      <c r="G6415">
        <v>1.58</v>
      </c>
      <c r="H6415" t="s">
        <v>20</v>
      </c>
      <c r="I6415" s="1">
        <v>13.85</v>
      </c>
      <c r="J6415" s="1">
        <v>13.15</v>
      </c>
      <c r="K6415" t="s">
        <v>457</v>
      </c>
      <c r="L6415" s="1">
        <v>14.47</v>
      </c>
    </row>
    <row r="6416" spans="1:12">
      <c r="A6416" t="s">
        <v>6055</v>
      </c>
      <c r="B6416">
        <v>432424</v>
      </c>
      <c r="C6416" s="2" t="str">
        <f>"90242"</f>
        <v>90242</v>
      </c>
      <c r="D6416" t="s">
        <v>6487</v>
      </c>
      <c r="E6416" t="s">
        <v>4</v>
      </c>
      <c r="F6416">
        <v>11.1</v>
      </c>
      <c r="G6416">
        <v>1.85</v>
      </c>
      <c r="H6416" t="s">
        <v>20</v>
      </c>
      <c r="I6416" s="1">
        <v>19.760000000000002</v>
      </c>
      <c r="J6416" s="1">
        <v>18.77</v>
      </c>
      <c r="K6416" t="s">
        <v>457</v>
      </c>
      <c r="L6416" s="1">
        <v>20.65</v>
      </c>
    </row>
    <row r="6417" spans="1:12">
      <c r="A6417" t="s">
        <v>6055</v>
      </c>
      <c r="B6417">
        <v>432425</v>
      </c>
      <c r="C6417" s="2" t="str">
        <f>"90243"</f>
        <v>90243</v>
      </c>
      <c r="D6417" t="s">
        <v>6488</v>
      </c>
      <c r="E6417" t="s">
        <v>4</v>
      </c>
      <c r="F6417">
        <v>10.8</v>
      </c>
      <c r="G6417">
        <v>1.8</v>
      </c>
      <c r="H6417" t="s">
        <v>20</v>
      </c>
      <c r="I6417" s="1">
        <v>28.8</v>
      </c>
      <c r="J6417" s="1">
        <v>27.36</v>
      </c>
      <c r="K6417" t="s">
        <v>457</v>
      </c>
      <c r="L6417" s="1">
        <v>30.09</v>
      </c>
    </row>
    <row r="6418" spans="1:12">
      <c r="A6418" t="s">
        <v>6055</v>
      </c>
      <c r="B6418">
        <v>432439</v>
      </c>
      <c r="C6418" s="2" t="str">
        <f>"90262"</f>
        <v>90262</v>
      </c>
      <c r="D6418" t="s">
        <v>6489</v>
      </c>
      <c r="E6418" t="s">
        <v>4</v>
      </c>
      <c r="F6418">
        <v>13.2</v>
      </c>
      <c r="G6418">
        <v>2.2000000000000002</v>
      </c>
      <c r="H6418" t="s">
        <v>20</v>
      </c>
      <c r="I6418" s="1">
        <v>27.5</v>
      </c>
      <c r="J6418" s="1">
        <v>26.12</v>
      </c>
      <c r="K6418" t="s">
        <v>457</v>
      </c>
      <c r="L6418" s="1">
        <v>28.73</v>
      </c>
    </row>
    <row r="6419" spans="1:12">
      <c r="A6419" t="s">
        <v>6055</v>
      </c>
      <c r="B6419">
        <v>432442</v>
      </c>
      <c r="C6419" s="2" t="str">
        <f>"90322"</f>
        <v>90322</v>
      </c>
      <c r="D6419" t="s">
        <v>6490</v>
      </c>
      <c r="E6419" t="s">
        <v>4</v>
      </c>
      <c r="F6419">
        <v>6.84</v>
      </c>
      <c r="G6419">
        <v>1.1399999999999999</v>
      </c>
      <c r="H6419" t="s">
        <v>20</v>
      </c>
      <c r="I6419" s="1">
        <v>12.74</v>
      </c>
      <c r="J6419" s="1">
        <v>12.1</v>
      </c>
      <c r="K6419" t="s">
        <v>457</v>
      </c>
      <c r="L6419" s="1">
        <v>13.31</v>
      </c>
    </row>
    <row r="6420" spans="1:12">
      <c r="A6420" t="s">
        <v>6055</v>
      </c>
      <c r="B6420">
        <v>432443</v>
      </c>
      <c r="C6420" s="2" t="str">
        <f>"90342"</f>
        <v>90342</v>
      </c>
      <c r="D6420" t="s">
        <v>6491</v>
      </c>
      <c r="E6420" t="s">
        <v>4</v>
      </c>
      <c r="F6420">
        <v>8.1</v>
      </c>
      <c r="G6420">
        <v>1.35</v>
      </c>
      <c r="H6420" t="s">
        <v>20</v>
      </c>
      <c r="I6420" s="1">
        <v>18.399999999999999</v>
      </c>
      <c r="J6420" s="1">
        <v>17.48</v>
      </c>
      <c r="K6420" t="s">
        <v>457</v>
      </c>
      <c r="L6420" s="1">
        <v>19.22</v>
      </c>
    </row>
    <row r="6421" spans="1:12">
      <c r="A6421" t="s">
        <v>6055</v>
      </c>
      <c r="B6421">
        <v>432446</v>
      </c>
      <c r="C6421" s="2" t="str">
        <f>"90362"</f>
        <v>90362</v>
      </c>
      <c r="D6421" t="s">
        <v>6492</v>
      </c>
      <c r="E6421" t="s">
        <v>4</v>
      </c>
      <c r="F6421">
        <v>9.9</v>
      </c>
      <c r="G6421">
        <v>1.65</v>
      </c>
      <c r="H6421" t="s">
        <v>20</v>
      </c>
      <c r="I6421" s="1">
        <v>26.39</v>
      </c>
      <c r="J6421" s="1">
        <v>25.07</v>
      </c>
      <c r="K6421" t="s">
        <v>457</v>
      </c>
      <c r="L6421" s="1">
        <v>27.58</v>
      </c>
    </row>
    <row r="6422" spans="1:12">
      <c r="A6422" t="s">
        <v>6055</v>
      </c>
      <c r="B6422">
        <v>432449</v>
      </c>
      <c r="C6422" s="2" t="str">
        <f>"90422"</f>
        <v>90422</v>
      </c>
      <c r="D6422" t="s">
        <v>6493</v>
      </c>
      <c r="E6422" t="s">
        <v>4</v>
      </c>
      <c r="F6422">
        <v>5.52</v>
      </c>
      <c r="G6422">
        <v>0.92</v>
      </c>
      <c r="H6422" t="s">
        <v>20</v>
      </c>
      <c r="I6422" s="1">
        <v>10.66</v>
      </c>
      <c r="J6422" s="1">
        <v>10.130000000000001</v>
      </c>
      <c r="K6422" t="s">
        <v>457</v>
      </c>
      <c r="L6422" s="1">
        <v>11.14</v>
      </c>
    </row>
    <row r="6423" spans="1:12">
      <c r="A6423" t="s">
        <v>6055</v>
      </c>
      <c r="B6423">
        <v>432450</v>
      </c>
      <c r="C6423" s="2" t="str">
        <f>"90442"</f>
        <v>90442</v>
      </c>
      <c r="D6423" t="s">
        <v>6494</v>
      </c>
      <c r="E6423" t="s">
        <v>4</v>
      </c>
      <c r="F6423">
        <v>6.3</v>
      </c>
      <c r="G6423">
        <v>1.05</v>
      </c>
      <c r="H6423" t="s">
        <v>20</v>
      </c>
      <c r="I6423" s="1">
        <v>16.64</v>
      </c>
      <c r="J6423" s="1">
        <v>15.81</v>
      </c>
      <c r="K6423" t="s">
        <v>457</v>
      </c>
      <c r="L6423" s="1">
        <v>17.39</v>
      </c>
    </row>
    <row r="6424" spans="1:12">
      <c r="A6424" t="s">
        <v>6055</v>
      </c>
      <c r="B6424">
        <v>432454</v>
      </c>
      <c r="C6424" s="2" t="str">
        <f>"90462"</f>
        <v>90462</v>
      </c>
      <c r="D6424" t="s">
        <v>6495</v>
      </c>
      <c r="E6424" t="s">
        <v>4</v>
      </c>
      <c r="F6424">
        <v>7.92</v>
      </c>
      <c r="G6424">
        <v>1.32</v>
      </c>
      <c r="H6424" t="s">
        <v>20</v>
      </c>
      <c r="I6424" s="1">
        <v>23.66</v>
      </c>
      <c r="J6424" s="1">
        <v>22.48</v>
      </c>
      <c r="K6424" t="s">
        <v>457</v>
      </c>
      <c r="L6424" s="1">
        <v>24.72</v>
      </c>
    </row>
    <row r="6425" spans="1:12">
      <c r="A6425" t="s">
        <v>6055</v>
      </c>
      <c r="B6425">
        <v>432457</v>
      </c>
      <c r="C6425" s="2" t="str">
        <f>"90622"</f>
        <v>90622</v>
      </c>
      <c r="D6425" t="s">
        <v>6496</v>
      </c>
      <c r="E6425" t="s">
        <v>4</v>
      </c>
      <c r="F6425">
        <v>3.72</v>
      </c>
      <c r="G6425">
        <v>0.62</v>
      </c>
      <c r="H6425" t="s">
        <v>20</v>
      </c>
      <c r="I6425" s="1">
        <v>9.23</v>
      </c>
      <c r="J6425" s="1">
        <v>8.77</v>
      </c>
      <c r="K6425" t="s">
        <v>457</v>
      </c>
      <c r="L6425" s="1">
        <v>9.65</v>
      </c>
    </row>
    <row r="6426" spans="1:12">
      <c r="A6426" t="s">
        <v>6055</v>
      </c>
      <c r="B6426">
        <v>432458</v>
      </c>
      <c r="C6426" s="2" t="str">
        <f>"90642"</f>
        <v>90642</v>
      </c>
      <c r="D6426" t="s">
        <v>6497</v>
      </c>
      <c r="E6426" t="s">
        <v>4</v>
      </c>
      <c r="F6426">
        <v>4.38</v>
      </c>
      <c r="G6426">
        <v>0.73</v>
      </c>
      <c r="H6426" t="s">
        <v>20</v>
      </c>
      <c r="I6426" s="1">
        <v>11.31</v>
      </c>
      <c r="J6426" s="1">
        <v>10.74</v>
      </c>
      <c r="K6426" t="s">
        <v>457</v>
      </c>
      <c r="L6426" s="1">
        <v>11.82</v>
      </c>
    </row>
    <row r="6427" spans="1:12">
      <c r="A6427" t="s">
        <v>6055</v>
      </c>
      <c r="B6427">
        <v>432459</v>
      </c>
      <c r="C6427" s="2" t="str">
        <f>"90662"</f>
        <v>90662</v>
      </c>
      <c r="D6427" t="s">
        <v>6498</v>
      </c>
      <c r="E6427" t="s">
        <v>4</v>
      </c>
      <c r="F6427">
        <v>0.9</v>
      </c>
      <c r="G6427">
        <v>0.9</v>
      </c>
      <c r="H6427">
        <v>1</v>
      </c>
      <c r="I6427" s="1">
        <v>15.86</v>
      </c>
      <c r="J6427" s="1">
        <v>15.07</v>
      </c>
      <c r="K6427" t="s">
        <v>457</v>
      </c>
      <c r="L6427" s="1">
        <v>16.57</v>
      </c>
    </row>
    <row r="6428" spans="1:12">
      <c r="A6428" t="s">
        <v>6055</v>
      </c>
      <c r="B6428">
        <v>432462</v>
      </c>
      <c r="C6428" s="2" t="str">
        <f>"90942"</f>
        <v>90942</v>
      </c>
      <c r="D6428" t="s">
        <v>6499</v>
      </c>
      <c r="E6428" t="s">
        <v>4</v>
      </c>
      <c r="F6428">
        <v>3.42</v>
      </c>
      <c r="G6428">
        <v>0.56999999999999995</v>
      </c>
      <c r="H6428" t="s">
        <v>20</v>
      </c>
      <c r="I6428" s="1">
        <v>13.72</v>
      </c>
      <c r="J6428" s="1">
        <v>13.03</v>
      </c>
      <c r="K6428" t="s">
        <v>457</v>
      </c>
      <c r="L6428" s="1">
        <v>14.33</v>
      </c>
    </row>
    <row r="6429" spans="1:12">
      <c r="A6429" t="s">
        <v>6055</v>
      </c>
      <c r="B6429">
        <v>381405</v>
      </c>
      <c r="C6429" s="2" t="str">
        <f>"9303"</f>
        <v>9303</v>
      </c>
      <c r="D6429" t="s">
        <v>6500</v>
      </c>
      <c r="E6429" t="s">
        <v>4</v>
      </c>
      <c r="F6429">
        <v>22.7</v>
      </c>
      <c r="H6429" t="s">
        <v>5</v>
      </c>
      <c r="I6429" s="1">
        <v>101.09</v>
      </c>
      <c r="J6429" s="1">
        <v>96.88</v>
      </c>
      <c r="K6429" t="s">
        <v>6</v>
      </c>
    </row>
    <row r="6430" spans="1:12">
      <c r="A6430" t="s">
        <v>6055</v>
      </c>
      <c r="B6430">
        <v>432421</v>
      </c>
      <c r="C6430" s="2" t="str">
        <f>"93100"</f>
        <v>93100</v>
      </c>
      <c r="D6430" t="s">
        <v>6501</v>
      </c>
      <c r="E6430" t="s">
        <v>4</v>
      </c>
      <c r="F6430">
        <v>14.82</v>
      </c>
      <c r="G6430">
        <v>2.4700000000000002</v>
      </c>
      <c r="H6430" t="s">
        <v>20</v>
      </c>
      <c r="I6430" s="1">
        <v>28.21</v>
      </c>
      <c r="J6430" s="1">
        <v>26.8</v>
      </c>
      <c r="K6430" t="s">
        <v>457</v>
      </c>
      <c r="L6430" s="1">
        <v>29.48</v>
      </c>
    </row>
    <row r="6431" spans="1:12">
      <c r="A6431" t="s">
        <v>6055</v>
      </c>
      <c r="B6431">
        <v>432440</v>
      </c>
      <c r="C6431" s="2" t="str">
        <f>"93200"</f>
        <v>93200</v>
      </c>
      <c r="D6431" t="s">
        <v>6502</v>
      </c>
      <c r="E6431" t="s">
        <v>4</v>
      </c>
      <c r="F6431">
        <v>7.5</v>
      </c>
      <c r="G6431">
        <v>1.25</v>
      </c>
      <c r="H6431" t="s">
        <v>20</v>
      </c>
      <c r="I6431" s="1">
        <v>13.65</v>
      </c>
      <c r="J6431" s="1">
        <v>12.97</v>
      </c>
      <c r="K6431" t="s">
        <v>457</v>
      </c>
      <c r="L6431" s="1">
        <v>14.26</v>
      </c>
    </row>
    <row r="6432" spans="1:12">
      <c r="A6432" t="s">
        <v>6055</v>
      </c>
      <c r="B6432">
        <v>432447</v>
      </c>
      <c r="C6432" s="2" t="str">
        <f>"93300"</f>
        <v>93300</v>
      </c>
      <c r="D6432" t="s">
        <v>6503</v>
      </c>
      <c r="E6432" t="s">
        <v>4</v>
      </c>
      <c r="F6432">
        <v>5.0999999999999996</v>
      </c>
      <c r="G6432">
        <v>0.85</v>
      </c>
      <c r="H6432" t="s">
        <v>20</v>
      </c>
      <c r="I6432" s="1">
        <v>11.96</v>
      </c>
      <c r="J6432" s="1">
        <v>11.36</v>
      </c>
      <c r="K6432" t="s">
        <v>457</v>
      </c>
      <c r="L6432" s="1">
        <v>12.5</v>
      </c>
    </row>
    <row r="6433" spans="1:12">
      <c r="A6433" t="s">
        <v>6055</v>
      </c>
      <c r="B6433">
        <v>432455</v>
      </c>
      <c r="C6433" s="2" t="str">
        <f>"93400"</f>
        <v>93400</v>
      </c>
      <c r="D6433" t="s">
        <v>6504</v>
      </c>
      <c r="E6433" t="s">
        <v>4</v>
      </c>
      <c r="F6433">
        <v>3.84</v>
      </c>
      <c r="G6433">
        <v>0.64</v>
      </c>
      <c r="H6433" t="s">
        <v>20</v>
      </c>
      <c r="I6433" s="1">
        <v>9.9499999999999993</v>
      </c>
      <c r="J6433" s="1">
        <v>9.4499999999999993</v>
      </c>
      <c r="K6433" t="s">
        <v>457</v>
      </c>
      <c r="L6433" s="1">
        <v>10.39</v>
      </c>
    </row>
    <row r="6434" spans="1:12">
      <c r="A6434" t="s">
        <v>6055</v>
      </c>
      <c r="B6434">
        <v>432460</v>
      </c>
      <c r="C6434" s="2" t="str">
        <f>"93600"</f>
        <v>93600</v>
      </c>
      <c r="D6434" t="s">
        <v>6505</v>
      </c>
      <c r="E6434" t="s">
        <v>4</v>
      </c>
      <c r="F6434">
        <v>2.64</v>
      </c>
      <c r="G6434">
        <v>0.44</v>
      </c>
      <c r="H6434" t="s">
        <v>20</v>
      </c>
      <c r="I6434" s="1">
        <v>8.06</v>
      </c>
      <c r="J6434" s="1">
        <v>7.66</v>
      </c>
      <c r="K6434" t="s">
        <v>457</v>
      </c>
      <c r="L6434" s="1">
        <v>8.42</v>
      </c>
    </row>
    <row r="6435" spans="1:12">
      <c r="A6435" t="s">
        <v>6055</v>
      </c>
      <c r="B6435">
        <v>432422</v>
      </c>
      <c r="C6435" s="2" t="str">
        <f>"94100"</f>
        <v>94100</v>
      </c>
      <c r="D6435" t="s">
        <v>6506</v>
      </c>
      <c r="E6435" t="s">
        <v>4</v>
      </c>
      <c r="F6435">
        <v>14.88</v>
      </c>
      <c r="G6435">
        <v>2.48</v>
      </c>
      <c r="H6435" t="s">
        <v>20</v>
      </c>
      <c r="I6435" s="1">
        <v>29.25</v>
      </c>
      <c r="J6435" s="1">
        <v>27.79</v>
      </c>
      <c r="K6435" t="s">
        <v>457</v>
      </c>
      <c r="L6435" s="1">
        <v>30.57</v>
      </c>
    </row>
    <row r="6436" spans="1:12">
      <c r="A6436" t="s">
        <v>6055</v>
      </c>
      <c r="B6436">
        <v>432441</v>
      </c>
      <c r="C6436" s="2" t="str">
        <f>"94200"</f>
        <v>94200</v>
      </c>
      <c r="D6436" t="s">
        <v>6507</v>
      </c>
      <c r="E6436" t="s">
        <v>4</v>
      </c>
      <c r="F6436">
        <v>7.44</v>
      </c>
      <c r="G6436">
        <v>1.24</v>
      </c>
      <c r="H6436" t="s">
        <v>20</v>
      </c>
      <c r="I6436" s="1">
        <v>14.04</v>
      </c>
      <c r="J6436" s="1">
        <v>13.34</v>
      </c>
      <c r="K6436" t="s">
        <v>457</v>
      </c>
      <c r="L6436" s="1">
        <v>14.67</v>
      </c>
    </row>
    <row r="6437" spans="1:12">
      <c r="A6437" t="s">
        <v>6055</v>
      </c>
      <c r="B6437">
        <v>432448</v>
      </c>
      <c r="C6437" s="2" t="str">
        <f>"94300"</f>
        <v>94300</v>
      </c>
      <c r="D6437" t="s">
        <v>6508</v>
      </c>
      <c r="E6437" t="s">
        <v>4</v>
      </c>
      <c r="F6437">
        <v>5.0999999999999996</v>
      </c>
      <c r="G6437">
        <v>0.85</v>
      </c>
      <c r="H6437" t="s">
        <v>20</v>
      </c>
      <c r="I6437" s="1">
        <v>11.96</v>
      </c>
      <c r="J6437" s="1">
        <v>11.36</v>
      </c>
      <c r="K6437" t="s">
        <v>457</v>
      </c>
      <c r="L6437" s="1">
        <v>12.5</v>
      </c>
    </row>
    <row r="6438" spans="1:12">
      <c r="A6438" t="s">
        <v>6055</v>
      </c>
      <c r="B6438">
        <v>432456</v>
      </c>
      <c r="C6438" s="2" t="str">
        <f>"94400"</f>
        <v>94400</v>
      </c>
      <c r="D6438" t="s">
        <v>6509</v>
      </c>
      <c r="E6438" t="s">
        <v>4</v>
      </c>
      <c r="F6438">
        <v>3.78</v>
      </c>
      <c r="G6438">
        <v>0.63</v>
      </c>
      <c r="H6438" t="s">
        <v>20</v>
      </c>
      <c r="I6438" s="1">
        <v>10.6</v>
      </c>
      <c r="J6438" s="1">
        <v>10.07</v>
      </c>
      <c r="K6438" t="s">
        <v>457</v>
      </c>
      <c r="L6438" s="1">
        <v>11.07</v>
      </c>
    </row>
    <row r="6439" spans="1:12">
      <c r="A6439" t="s">
        <v>6055</v>
      </c>
      <c r="B6439">
        <v>432461</v>
      </c>
      <c r="C6439" s="2" t="str">
        <f>"94600"</f>
        <v>94600</v>
      </c>
      <c r="D6439" t="s">
        <v>6510</v>
      </c>
      <c r="E6439" t="s">
        <v>4</v>
      </c>
      <c r="F6439">
        <v>2.58</v>
      </c>
      <c r="G6439">
        <v>0.43</v>
      </c>
      <c r="H6439" t="s">
        <v>20</v>
      </c>
      <c r="I6439" s="1">
        <v>8.06</v>
      </c>
      <c r="J6439" s="1">
        <v>7.66</v>
      </c>
      <c r="K6439" t="s">
        <v>457</v>
      </c>
      <c r="L6439" s="1">
        <v>8.42</v>
      </c>
    </row>
    <row r="6440" spans="1:12">
      <c r="A6440" t="s">
        <v>6055</v>
      </c>
      <c r="B6440">
        <v>379897</v>
      </c>
      <c r="C6440" s="2" t="str">
        <f>"97111"</f>
        <v>97111</v>
      </c>
      <c r="D6440" t="s">
        <v>6511</v>
      </c>
      <c r="E6440" t="s">
        <v>4</v>
      </c>
      <c r="F6440">
        <v>50</v>
      </c>
      <c r="H6440" t="s">
        <v>5</v>
      </c>
      <c r="I6440" s="1">
        <v>376.68</v>
      </c>
      <c r="J6440" s="1">
        <v>357.84</v>
      </c>
      <c r="K6440" t="s">
        <v>6</v>
      </c>
    </row>
    <row r="6441" spans="1:12">
      <c r="A6441" t="s">
        <v>6055</v>
      </c>
      <c r="B6441">
        <v>376035</v>
      </c>
      <c r="C6441" s="2" t="str">
        <f>"97112"</f>
        <v>97112</v>
      </c>
      <c r="D6441" t="s">
        <v>6512</v>
      </c>
      <c r="E6441" t="s">
        <v>4</v>
      </c>
      <c r="F6441">
        <v>47.5</v>
      </c>
      <c r="H6441" t="s">
        <v>5</v>
      </c>
      <c r="I6441" s="1">
        <v>306.61</v>
      </c>
      <c r="J6441" s="1">
        <v>291.27</v>
      </c>
      <c r="K6441" t="s">
        <v>6</v>
      </c>
    </row>
    <row r="6442" spans="1:12">
      <c r="A6442" t="s">
        <v>6055</v>
      </c>
      <c r="B6442">
        <v>370902</v>
      </c>
      <c r="C6442" s="2" t="str">
        <f>"97120"</f>
        <v>97120</v>
      </c>
      <c r="D6442" t="s">
        <v>6513</v>
      </c>
      <c r="E6442" t="s">
        <v>4</v>
      </c>
      <c r="F6442">
        <v>28.1</v>
      </c>
      <c r="H6442" t="s">
        <v>5</v>
      </c>
      <c r="I6442" s="1">
        <v>207.81</v>
      </c>
      <c r="J6442" s="1">
        <v>197.41</v>
      </c>
      <c r="K6442" t="s">
        <v>6</v>
      </c>
    </row>
    <row r="6443" spans="1:12">
      <c r="A6443" t="s">
        <v>6055</v>
      </c>
      <c r="B6443">
        <v>370914</v>
      </c>
      <c r="C6443" s="2" t="str">
        <f>"99765"</f>
        <v>99765</v>
      </c>
      <c r="D6443" t="s">
        <v>6514</v>
      </c>
      <c r="E6443" t="s">
        <v>4</v>
      </c>
      <c r="F6443">
        <v>5.5</v>
      </c>
      <c r="H6443" t="s">
        <v>5</v>
      </c>
      <c r="I6443" s="1">
        <v>85.93</v>
      </c>
      <c r="J6443" s="1">
        <v>81.63</v>
      </c>
      <c r="K6443" t="s">
        <v>6</v>
      </c>
    </row>
    <row r="6444" spans="1:12">
      <c r="A6444" t="s">
        <v>6055</v>
      </c>
      <c r="B6444">
        <v>368294</v>
      </c>
      <c r="C6444" s="2" t="str">
        <f>"99785"</f>
        <v>99785</v>
      </c>
      <c r="D6444" t="s">
        <v>6515</v>
      </c>
      <c r="E6444" t="s">
        <v>4</v>
      </c>
      <c r="F6444">
        <v>3.75</v>
      </c>
      <c r="H6444" t="s">
        <v>5</v>
      </c>
      <c r="I6444" s="1">
        <v>52.52</v>
      </c>
      <c r="J6444" s="1">
        <v>49.89</v>
      </c>
      <c r="K6444" t="s">
        <v>6</v>
      </c>
    </row>
    <row r="6445" spans="1:12">
      <c r="A6445" t="s">
        <v>6055</v>
      </c>
      <c r="B6445">
        <v>367932</v>
      </c>
      <c r="C6445" s="2" t="str">
        <f>"99850"</f>
        <v>99850</v>
      </c>
      <c r="D6445" t="s">
        <v>6516</v>
      </c>
      <c r="E6445" t="s">
        <v>4</v>
      </c>
      <c r="F6445">
        <v>15</v>
      </c>
      <c r="H6445" t="s">
        <v>5</v>
      </c>
      <c r="I6445" s="1">
        <v>104.46</v>
      </c>
      <c r="J6445" s="1">
        <v>99.23</v>
      </c>
      <c r="K6445" t="s">
        <v>6</v>
      </c>
    </row>
    <row r="6446" spans="1:12">
      <c r="A6446" t="s">
        <v>6055</v>
      </c>
      <c r="B6446">
        <v>444237</v>
      </c>
      <c r="C6446" s="2" t="str">
        <f>"99860"</f>
        <v>99860</v>
      </c>
      <c r="D6446" t="s">
        <v>6517</v>
      </c>
      <c r="E6446" t="s">
        <v>4</v>
      </c>
      <c r="F6446">
        <v>15.8</v>
      </c>
      <c r="H6446" t="s">
        <v>5</v>
      </c>
      <c r="I6446" s="1">
        <v>121.88</v>
      </c>
      <c r="J6446" s="1">
        <v>115.78</v>
      </c>
      <c r="K6446" t="s">
        <v>6</v>
      </c>
    </row>
    <row r="6447" spans="1:12">
      <c r="A6447" t="s">
        <v>6055</v>
      </c>
      <c r="B6447">
        <v>413971</v>
      </c>
      <c r="C6447" s="2" t="str">
        <f>"BCO-1"</f>
        <v>BCO-1</v>
      </c>
      <c r="D6447" t="s">
        <v>6518</v>
      </c>
      <c r="E6447" t="s">
        <v>4</v>
      </c>
      <c r="F6447">
        <v>4.7</v>
      </c>
      <c r="H6447" t="s">
        <v>5</v>
      </c>
      <c r="I6447" s="1">
        <v>119.6</v>
      </c>
      <c r="J6447" s="1">
        <v>113.62</v>
      </c>
      <c r="K6447" t="s">
        <v>6</v>
      </c>
    </row>
    <row r="6448" spans="1:12">
      <c r="A6448" t="s">
        <v>6055</v>
      </c>
      <c r="B6448">
        <v>387710</v>
      </c>
      <c r="C6448" s="2" t="str">
        <f>"BCO-11"</f>
        <v>BCO-11</v>
      </c>
      <c r="D6448" t="s">
        <v>6519</v>
      </c>
      <c r="E6448" t="s">
        <v>4</v>
      </c>
      <c r="F6448">
        <v>0.8</v>
      </c>
      <c r="H6448" t="s">
        <v>5</v>
      </c>
      <c r="I6448" s="1">
        <v>9.75</v>
      </c>
      <c r="J6448" s="1">
        <v>9.26</v>
      </c>
      <c r="K6448" t="s">
        <v>6</v>
      </c>
    </row>
    <row r="6449" spans="1:12">
      <c r="A6449" t="s">
        <v>6055</v>
      </c>
      <c r="B6449">
        <v>535540</v>
      </c>
      <c r="C6449" s="2" t="str">
        <f>"E4010"</f>
        <v>E4010</v>
      </c>
      <c r="D6449" t="s">
        <v>6520</v>
      </c>
      <c r="E6449" t="s">
        <v>4</v>
      </c>
      <c r="F6449">
        <v>13.8</v>
      </c>
      <c r="G6449">
        <v>2.2999999999999998</v>
      </c>
      <c r="H6449" t="s">
        <v>20</v>
      </c>
      <c r="I6449" s="1">
        <v>27.82</v>
      </c>
      <c r="J6449" s="1">
        <v>26.43</v>
      </c>
      <c r="K6449" t="s">
        <v>21</v>
      </c>
      <c r="L6449" s="1">
        <v>29.07</v>
      </c>
    </row>
    <row r="6450" spans="1:12">
      <c r="A6450" t="s">
        <v>6055</v>
      </c>
      <c r="B6450">
        <v>535541</v>
      </c>
      <c r="C6450" s="2" t="str">
        <f>"E4012"</f>
        <v>E4012</v>
      </c>
      <c r="D6450" t="s">
        <v>6521</v>
      </c>
      <c r="E6450" t="s">
        <v>4</v>
      </c>
      <c r="F6450">
        <v>8.2200000000000006</v>
      </c>
      <c r="G6450">
        <v>4.1100000000000003</v>
      </c>
      <c r="H6450" t="s">
        <v>175</v>
      </c>
      <c r="I6450" s="1">
        <v>45.11</v>
      </c>
      <c r="J6450" s="1">
        <v>42.85</v>
      </c>
      <c r="K6450" t="s">
        <v>21</v>
      </c>
      <c r="L6450" s="1">
        <v>47.14</v>
      </c>
    </row>
    <row r="6451" spans="1:12">
      <c r="A6451" t="s">
        <v>6055</v>
      </c>
      <c r="B6451">
        <v>535542</v>
      </c>
      <c r="C6451" s="2" t="str">
        <f>"E4014"</f>
        <v>E4014</v>
      </c>
      <c r="D6451" t="s">
        <v>6522</v>
      </c>
      <c r="E6451" t="s">
        <v>4</v>
      </c>
      <c r="F6451">
        <v>10.88</v>
      </c>
      <c r="G6451">
        <v>5.44</v>
      </c>
      <c r="H6451" t="s">
        <v>175</v>
      </c>
      <c r="I6451" s="1">
        <v>56.88</v>
      </c>
      <c r="J6451" s="1">
        <v>54.03</v>
      </c>
      <c r="K6451" t="s">
        <v>21</v>
      </c>
      <c r="L6451" s="1">
        <v>59.43</v>
      </c>
    </row>
    <row r="6452" spans="1:12">
      <c r="A6452" t="s">
        <v>6055</v>
      </c>
      <c r="B6452">
        <v>483070</v>
      </c>
      <c r="C6452" s="2" t="str">
        <f>"ES4007"</f>
        <v>ES4007</v>
      </c>
      <c r="D6452" t="s">
        <v>6523</v>
      </c>
      <c r="E6452" t="s">
        <v>4</v>
      </c>
      <c r="F6452">
        <v>6.8</v>
      </c>
      <c r="H6452" t="s">
        <v>5</v>
      </c>
      <c r="I6452" s="1">
        <v>131.82</v>
      </c>
      <c r="J6452" s="1">
        <v>125.23</v>
      </c>
      <c r="K6452" t="s">
        <v>6</v>
      </c>
    </row>
    <row r="6453" spans="1:12">
      <c r="A6453" t="s">
        <v>6055</v>
      </c>
      <c r="B6453">
        <v>497875</v>
      </c>
      <c r="C6453" s="2" t="str">
        <f>"ES4008"</f>
        <v>ES4008</v>
      </c>
      <c r="D6453" t="s">
        <v>6524</v>
      </c>
      <c r="E6453" t="s">
        <v>4</v>
      </c>
      <c r="F6453">
        <v>52.2</v>
      </c>
      <c r="G6453">
        <v>8.6999999999999993</v>
      </c>
      <c r="H6453" t="s">
        <v>20</v>
      </c>
      <c r="I6453" s="1">
        <v>26.65</v>
      </c>
      <c r="J6453" s="1">
        <v>25.32</v>
      </c>
      <c r="K6453" t="s">
        <v>21</v>
      </c>
      <c r="L6453" s="1">
        <v>27.85</v>
      </c>
    </row>
    <row r="6454" spans="1:12">
      <c r="A6454" t="s">
        <v>6055</v>
      </c>
      <c r="B6454">
        <v>429166</v>
      </c>
      <c r="C6454" s="2" t="str">
        <f>"N7007"</f>
        <v>N7007</v>
      </c>
      <c r="D6454" t="s">
        <v>6525</v>
      </c>
      <c r="E6454" t="s">
        <v>4</v>
      </c>
      <c r="F6454">
        <v>5.52</v>
      </c>
      <c r="G6454">
        <v>0.92</v>
      </c>
      <c r="H6454" t="s">
        <v>20</v>
      </c>
      <c r="I6454" s="1">
        <v>9.8800000000000008</v>
      </c>
      <c r="J6454" s="1">
        <v>9.39</v>
      </c>
      <c r="K6454" t="s">
        <v>457</v>
      </c>
      <c r="L6454" s="1">
        <v>10.32</v>
      </c>
    </row>
    <row r="6455" spans="1:12">
      <c r="A6455" t="s">
        <v>6055</v>
      </c>
      <c r="B6455">
        <v>429170</v>
      </c>
      <c r="C6455" s="2" t="str">
        <f>"N7008"</f>
        <v>N7008</v>
      </c>
      <c r="D6455" t="s">
        <v>6526</v>
      </c>
      <c r="E6455" t="s">
        <v>4</v>
      </c>
      <c r="F6455">
        <v>7.74</v>
      </c>
      <c r="G6455">
        <v>1.29</v>
      </c>
      <c r="H6455" t="s">
        <v>20</v>
      </c>
      <c r="I6455" s="1">
        <v>14.04</v>
      </c>
      <c r="J6455" s="1">
        <v>13.34</v>
      </c>
      <c r="K6455" t="s">
        <v>457</v>
      </c>
      <c r="L6455" s="1">
        <v>14.67</v>
      </c>
    </row>
    <row r="6456" spans="1:12">
      <c r="A6456" t="s">
        <v>6055</v>
      </c>
      <c r="B6456">
        <v>429171</v>
      </c>
      <c r="C6456" s="2" t="str">
        <f>"N7010"</f>
        <v>N7010</v>
      </c>
      <c r="D6456" t="s">
        <v>6527</v>
      </c>
      <c r="E6456" t="s">
        <v>4</v>
      </c>
      <c r="F6456">
        <v>12.9</v>
      </c>
      <c r="G6456">
        <v>2.15</v>
      </c>
      <c r="H6456" t="s">
        <v>20</v>
      </c>
      <c r="I6456" s="1">
        <v>18.010000000000002</v>
      </c>
      <c r="J6456" s="1">
        <v>17.100000000000001</v>
      </c>
      <c r="K6456" t="s">
        <v>457</v>
      </c>
      <c r="L6456" s="1">
        <v>18.82</v>
      </c>
    </row>
    <row r="6457" spans="1:12">
      <c r="A6457" t="s">
        <v>6055</v>
      </c>
      <c r="B6457">
        <v>429172</v>
      </c>
      <c r="C6457" s="2" t="str">
        <f>"N7012"</f>
        <v>N7012</v>
      </c>
      <c r="D6457" t="s">
        <v>6528</v>
      </c>
      <c r="E6457" t="s">
        <v>4</v>
      </c>
      <c r="F6457">
        <v>18.72</v>
      </c>
      <c r="G6457">
        <v>3.12</v>
      </c>
      <c r="H6457" t="s">
        <v>20</v>
      </c>
      <c r="I6457" s="1">
        <v>30.88</v>
      </c>
      <c r="J6457" s="1">
        <v>29.33</v>
      </c>
      <c r="K6457" t="s">
        <v>457</v>
      </c>
      <c r="L6457" s="1">
        <v>32.26</v>
      </c>
    </row>
    <row r="6458" spans="1:12">
      <c r="A6458" t="s">
        <v>6055</v>
      </c>
      <c r="B6458">
        <v>429178</v>
      </c>
      <c r="C6458" s="2" t="str">
        <f>"N7014"</f>
        <v>N7014</v>
      </c>
      <c r="D6458" t="s">
        <v>6529</v>
      </c>
      <c r="E6458" t="s">
        <v>4</v>
      </c>
      <c r="F6458">
        <v>25.38</v>
      </c>
      <c r="G6458">
        <v>4.2300000000000004</v>
      </c>
      <c r="H6458" t="s">
        <v>20</v>
      </c>
      <c r="I6458" s="1">
        <v>41.99</v>
      </c>
      <c r="J6458" s="1">
        <v>39.89</v>
      </c>
      <c r="K6458" t="s">
        <v>457</v>
      </c>
      <c r="L6458" s="1">
        <v>43.88</v>
      </c>
    </row>
    <row r="6459" spans="1:12">
      <c r="A6459" t="s">
        <v>6055</v>
      </c>
      <c r="B6459">
        <v>379495</v>
      </c>
      <c r="C6459" s="2" t="str">
        <f>"S4007"</f>
        <v>S4007</v>
      </c>
      <c r="D6459" t="s">
        <v>6530</v>
      </c>
      <c r="E6459" t="s">
        <v>4</v>
      </c>
      <c r="F6459">
        <v>6.48</v>
      </c>
      <c r="G6459">
        <v>1.08</v>
      </c>
      <c r="H6459" t="s">
        <v>20</v>
      </c>
      <c r="I6459" s="1">
        <v>19.63</v>
      </c>
      <c r="J6459" s="1">
        <v>18.649999999999999</v>
      </c>
      <c r="K6459" t="s">
        <v>457</v>
      </c>
      <c r="L6459" s="1">
        <v>20.51</v>
      </c>
    </row>
    <row r="6460" spans="1:12">
      <c r="A6460" t="s">
        <v>6055</v>
      </c>
      <c r="B6460">
        <v>379497</v>
      </c>
      <c r="C6460" s="2" t="str">
        <f>"S4008"</f>
        <v>S4008</v>
      </c>
      <c r="D6460" t="s">
        <v>6531</v>
      </c>
      <c r="E6460" t="s">
        <v>4</v>
      </c>
      <c r="F6460">
        <v>8.58</v>
      </c>
      <c r="G6460">
        <v>1.43</v>
      </c>
      <c r="H6460" t="s">
        <v>20</v>
      </c>
      <c r="I6460" s="1">
        <v>23.73</v>
      </c>
      <c r="J6460" s="1">
        <v>22.54</v>
      </c>
      <c r="K6460" t="s">
        <v>457</v>
      </c>
      <c r="L6460" s="1">
        <v>24.79</v>
      </c>
    </row>
    <row r="6461" spans="1:12">
      <c r="A6461" t="s">
        <v>6055</v>
      </c>
      <c r="B6461">
        <v>535550</v>
      </c>
      <c r="C6461" s="2" t="str">
        <f>"S4010"</f>
        <v>S4010</v>
      </c>
      <c r="D6461" t="s">
        <v>6532</v>
      </c>
      <c r="E6461" t="s">
        <v>4</v>
      </c>
      <c r="F6461">
        <v>13.92</v>
      </c>
      <c r="G6461">
        <v>2.3199999999999998</v>
      </c>
      <c r="H6461" t="s">
        <v>20</v>
      </c>
      <c r="I6461" s="1">
        <v>32.31</v>
      </c>
      <c r="J6461" s="1">
        <v>30.69</v>
      </c>
      <c r="K6461" t="s">
        <v>21</v>
      </c>
      <c r="L6461" s="1">
        <v>33.76</v>
      </c>
    </row>
    <row r="6462" spans="1:12">
      <c r="A6462" t="s">
        <v>6055</v>
      </c>
      <c r="B6462">
        <v>535551</v>
      </c>
      <c r="C6462" s="2" t="str">
        <f>"S4012"</f>
        <v>S4012</v>
      </c>
      <c r="D6462" t="s">
        <v>6533</v>
      </c>
      <c r="E6462" t="s">
        <v>4</v>
      </c>
      <c r="F6462">
        <v>4.16</v>
      </c>
      <c r="G6462">
        <v>2.08</v>
      </c>
      <c r="H6462" t="s">
        <v>175</v>
      </c>
      <c r="I6462" s="1">
        <v>46.67</v>
      </c>
      <c r="J6462" s="1">
        <v>44.34</v>
      </c>
      <c r="K6462" t="s">
        <v>21</v>
      </c>
      <c r="L6462" s="1">
        <v>48.77</v>
      </c>
    </row>
    <row r="6463" spans="1:12">
      <c r="A6463" t="s">
        <v>6055</v>
      </c>
      <c r="B6463">
        <v>535552</v>
      </c>
      <c r="C6463" s="2" t="str">
        <f>"S4014"</f>
        <v>S4014</v>
      </c>
      <c r="D6463" t="s">
        <v>6534</v>
      </c>
      <c r="E6463" t="s">
        <v>4</v>
      </c>
      <c r="F6463">
        <v>10.8</v>
      </c>
      <c r="G6463">
        <v>5.4</v>
      </c>
      <c r="H6463" t="s">
        <v>175</v>
      </c>
      <c r="I6463" s="1">
        <v>60.32</v>
      </c>
      <c r="J6463" s="1">
        <v>57.3</v>
      </c>
      <c r="K6463" t="s">
        <v>21</v>
      </c>
      <c r="L6463" s="1">
        <v>63.03</v>
      </c>
    </row>
    <row r="6464" spans="1:12">
      <c r="A6464" t="s">
        <v>6055</v>
      </c>
      <c r="B6464">
        <v>429336</v>
      </c>
      <c r="C6464" s="2" t="str">
        <f>"TR1"</f>
        <v>TR1</v>
      </c>
      <c r="D6464" t="s">
        <v>6535</v>
      </c>
      <c r="E6464" t="s">
        <v>4</v>
      </c>
      <c r="F6464">
        <v>19.02</v>
      </c>
      <c r="G6464">
        <v>3.17</v>
      </c>
      <c r="H6464" t="s">
        <v>20</v>
      </c>
      <c r="I6464" s="1">
        <v>19.309999999999999</v>
      </c>
      <c r="J6464" s="1">
        <v>18.34</v>
      </c>
      <c r="K6464" t="s">
        <v>457</v>
      </c>
      <c r="L6464" s="1">
        <v>20.170000000000002</v>
      </c>
    </row>
    <row r="6465" spans="1:12">
      <c r="A6465" t="s">
        <v>6055</v>
      </c>
      <c r="B6465">
        <v>457783</v>
      </c>
      <c r="C6465" s="2" t="str">
        <f>"TR10FF"</f>
        <v>TR10FF</v>
      </c>
      <c r="D6465" t="s">
        <v>6536</v>
      </c>
      <c r="E6465" t="s">
        <v>4</v>
      </c>
      <c r="F6465">
        <v>15</v>
      </c>
      <c r="G6465">
        <v>7.5</v>
      </c>
      <c r="H6465" t="s">
        <v>175</v>
      </c>
      <c r="I6465" s="1">
        <v>50.25</v>
      </c>
      <c r="J6465" s="1">
        <v>47.73</v>
      </c>
      <c r="K6465" t="s">
        <v>457</v>
      </c>
      <c r="L6465" s="1">
        <v>52.51</v>
      </c>
    </row>
    <row r="6466" spans="1:12">
      <c r="A6466" t="s">
        <v>6055</v>
      </c>
      <c r="B6466">
        <v>431492</v>
      </c>
      <c r="C6466" s="2" t="str">
        <f>"TR11GG"</f>
        <v>TR11GG</v>
      </c>
      <c r="D6466" t="s">
        <v>6537</v>
      </c>
      <c r="E6466" t="s">
        <v>4</v>
      </c>
      <c r="F6466">
        <v>16</v>
      </c>
      <c r="G6466">
        <v>8</v>
      </c>
      <c r="H6466" t="s">
        <v>175</v>
      </c>
      <c r="I6466" s="1">
        <v>41.15</v>
      </c>
      <c r="J6466" s="1">
        <v>39.090000000000003</v>
      </c>
      <c r="K6466" t="s">
        <v>457</v>
      </c>
      <c r="L6466" s="1">
        <v>43</v>
      </c>
    </row>
    <row r="6467" spans="1:12">
      <c r="A6467" t="s">
        <v>6055</v>
      </c>
      <c r="B6467">
        <v>460086</v>
      </c>
      <c r="C6467" s="2" t="str">
        <f>"TR12HH"</f>
        <v>TR12HH</v>
      </c>
      <c r="D6467" t="s">
        <v>6538</v>
      </c>
      <c r="E6467" t="s">
        <v>4</v>
      </c>
      <c r="F6467">
        <v>15</v>
      </c>
      <c r="G6467">
        <v>7.5</v>
      </c>
      <c r="H6467" t="s">
        <v>175</v>
      </c>
      <c r="I6467" s="1">
        <v>41.15</v>
      </c>
      <c r="J6467" s="1">
        <v>39.090000000000003</v>
      </c>
      <c r="K6467" t="s">
        <v>457</v>
      </c>
      <c r="L6467" s="1">
        <v>43</v>
      </c>
    </row>
    <row r="6468" spans="1:12">
      <c r="A6468" t="s">
        <v>6055</v>
      </c>
      <c r="B6468">
        <v>460100</v>
      </c>
      <c r="C6468" s="2" t="str">
        <f>"TR15"</f>
        <v>TR15</v>
      </c>
      <c r="D6468" t="s">
        <v>6539</v>
      </c>
      <c r="E6468" t="s">
        <v>4</v>
      </c>
      <c r="F6468">
        <v>24</v>
      </c>
      <c r="G6468">
        <v>4</v>
      </c>
      <c r="H6468" t="s">
        <v>20</v>
      </c>
      <c r="I6468" s="1">
        <v>20.149999999999999</v>
      </c>
      <c r="J6468" s="1">
        <v>19.14</v>
      </c>
      <c r="K6468" t="s">
        <v>457</v>
      </c>
      <c r="L6468" s="1">
        <v>21.06</v>
      </c>
    </row>
    <row r="6469" spans="1:12">
      <c r="A6469" t="s">
        <v>6055</v>
      </c>
      <c r="B6469">
        <v>429337</v>
      </c>
      <c r="C6469" s="2" t="str">
        <f>"TR2"</f>
        <v>TR2</v>
      </c>
      <c r="D6469" t="s">
        <v>6540</v>
      </c>
      <c r="E6469" t="s">
        <v>4</v>
      </c>
      <c r="F6469">
        <v>22.98</v>
      </c>
      <c r="G6469">
        <v>3.83</v>
      </c>
      <c r="H6469" t="s">
        <v>20</v>
      </c>
      <c r="I6469" s="1">
        <v>19.309999999999999</v>
      </c>
      <c r="J6469" s="1">
        <v>18.34</v>
      </c>
      <c r="K6469" t="s">
        <v>457</v>
      </c>
      <c r="L6469" s="1">
        <v>20.170000000000002</v>
      </c>
    </row>
    <row r="6470" spans="1:12">
      <c r="A6470" t="s">
        <v>6055</v>
      </c>
      <c r="B6470">
        <v>429338</v>
      </c>
      <c r="C6470" s="2" t="str">
        <f>"TR3"</f>
        <v>TR3</v>
      </c>
      <c r="D6470" t="s">
        <v>6541</v>
      </c>
      <c r="E6470" t="s">
        <v>4</v>
      </c>
      <c r="F6470">
        <v>27</v>
      </c>
      <c r="G6470">
        <v>4.5</v>
      </c>
      <c r="H6470" t="s">
        <v>20</v>
      </c>
      <c r="I6470" s="1">
        <v>19.309999999999999</v>
      </c>
      <c r="J6470" s="1">
        <v>18.34</v>
      </c>
      <c r="K6470" t="s">
        <v>457</v>
      </c>
      <c r="L6470" s="1">
        <v>20.170000000000002</v>
      </c>
    </row>
    <row r="6471" spans="1:12">
      <c r="A6471" t="s">
        <v>6055</v>
      </c>
      <c r="B6471">
        <v>502152</v>
      </c>
      <c r="C6471" s="2" t="str">
        <f>"TR4"</f>
        <v>TR4</v>
      </c>
      <c r="D6471" t="s">
        <v>6542</v>
      </c>
      <c r="E6471" t="s">
        <v>4</v>
      </c>
      <c r="F6471">
        <v>6.24</v>
      </c>
      <c r="G6471">
        <v>1.04</v>
      </c>
      <c r="H6471" t="s">
        <v>20</v>
      </c>
      <c r="I6471" s="1">
        <v>19.96</v>
      </c>
      <c r="J6471" s="1">
        <v>18.96</v>
      </c>
      <c r="K6471" t="s">
        <v>21</v>
      </c>
      <c r="L6471" s="1">
        <v>20.85</v>
      </c>
    </row>
    <row r="6472" spans="1:12">
      <c r="A6472" t="s">
        <v>6055</v>
      </c>
      <c r="B6472">
        <v>429340</v>
      </c>
      <c r="C6472" s="2" t="str">
        <f>"TR5"</f>
        <v>TR5</v>
      </c>
      <c r="D6472" t="s">
        <v>6543</v>
      </c>
      <c r="E6472" t="s">
        <v>4</v>
      </c>
      <c r="F6472">
        <v>25.08</v>
      </c>
      <c r="G6472">
        <v>4.18</v>
      </c>
      <c r="H6472" t="s">
        <v>20</v>
      </c>
      <c r="I6472" s="1">
        <v>19.96</v>
      </c>
      <c r="J6472" s="1">
        <v>18.96</v>
      </c>
      <c r="K6472" t="s">
        <v>457</v>
      </c>
      <c r="L6472" s="1">
        <v>20.85</v>
      </c>
    </row>
    <row r="6473" spans="1:12">
      <c r="A6473" t="s">
        <v>6055</v>
      </c>
      <c r="B6473">
        <v>457770</v>
      </c>
      <c r="C6473" s="2" t="str">
        <f>"TR6B"</f>
        <v>TR6B</v>
      </c>
      <c r="D6473" t="s">
        <v>6544</v>
      </c>
      <c r="E6473" t="s">
        <v>4</v>
      </c>
      <c r="F6473">
        <v>25</v>
      </c>
      <c r="G6473">
        <v>12.5</v>
      </c>
      <c r="H6473" t="s">
        <v>175</v>
      </c>
      <c r="I6473" s="1">
        <v>34.32</v>
      </c>
      <c r="J6473" s="1">
        <v>32.6</v>
      </c>
      <c r="K6473" t="s">
        <v>457</v>
      </c>
      <c r="L6473" s="1">
        <v>35.86</v>
      </c>
    </row>
    <row r="6474" spans="1:12">
      <c r="A6474" t="s">
        <v>6055</v>
      </c>
      <c r="B6474">
        <v>431489</v>
      </c>
      <c r="C6474" s="2" t="str">
        <f>"TR6BB"</f>
        <v>TR6BB</v>
      </c>
      <c r="D6474" t="s">
        <v>6545</v>
      </c>
      <c r="E6474" t="s">
        <v>4</v>
      </c>
      <c r="F6474">
        <v>15.34</v>
      </c>
      <c r="G6474">
        <v>7.67</v>
      </c>
      <c r="H6474" t="s">
        <v>175</v>
      </c>
      <c r="I6474" s="1">
        <v>42.25</v>
      </c>
      <c r="J6474" s="1">
        <v>40.14</v>
      </c>
      <c r="K6474" t="s">
        <v>457</v>
      </c>
      <c r="L6474" s="1">
        <v>44.15</v>
      </c>
    </row>
    <row r="6475" spans="1:12">
      <c r="A6475" t="s">
        <v>6055</v>
      </c>
      <c r="B6475">
        <v>431493</v>
      </c>
      <c r="C6475" s="2" t="str">
        <f>"TR6BBB"</f>
        <v>TR6BBB</v>
      </c>
      <c r="D6475" t="s">
        <v>6546</v>
      </c>
      <c r="E6475" t="s">
        <v>4</v>
      </c>
      <c r="F6475">
        <v>20</v>
      </c>
      <c r="G6475">
        <v>10</v>
      </c>
      <c r="H6475" t="s">
        <v>175</v>
      </c>
      <c r="I6475" s="1">
        <v>54.02</v>
      </c>
      <c r="J6475" s="1">
        <v>51.31</v>
      </c>
      <c r="K6475" t="s">
        <v>457</v>
      </c>
      <c r="L6475" s="1">
        <v>56.45</v>
      </c>
    </row>
    <row r="6476" spans="1:12">
      <c r="A6476" t="s">
        <v>6055</v>
      </c>
      <c r="B6476">
        <v>457771</v>
      </c>
      <c r="C6476" s="2" t="str">
        <f>"TR6BBBB"</f>
        <v>TR6BBBB</v>
      </c>
      <c r="D6476" t="s">
        <v>6547</v>
      </c>
      <c r="E6476" t="s">
        <v>4</v>
      </c>
      <c r="F6476">
        <v>23</v>
      </c>
      <c r="G6476">
        <v>11.5</v>
      </c>
      <c r="H6476" t="s">
        <v>175</v>
      </c>
      <c r="I6476" s="1">
        <v>63.9</v>
      </c>
      <c r="J6476" s="1">
        <v>60.7</v>
      </c>
      <c r="K6476" t="s">
        <v>457</v>
      </c>
      <c r="L6476" s="1">
        <v>66.77</v>
      </c>
    </row>
    <row r="6477" spans="1:12">
      <c r="A6477" t="s">
        <v>6055</v>
      </c>
      <c r="B6477">
        <v>431494</v>
      </c>
      <c r="C6477" s="2" t="str">
        <f>"TR7CCC"</f>
        <v>TR7CCC</v>
      </c>
      <c r="D6477" t="s">
        <v>6548</v>
      </c>
      <c r="E6477" t="s">
        <v>4</v>
      </c>
      <c r="F6477">
        <v>22</v>
      </c>
      <c r="G6477">
        <v>11</v>
      </c>
      <c r="H6477" t="s">
        <v>175</v>
      </c>
      <c r="I6477" s="1">
        <v>54.02</v>
      </c>
      <c r="J6477" s="1">
        <v>51.31</v>
      </c>
      <c r="K6477" t="s">
        <v>457</v>
      </c>
      <c r="L6477" s="1">
        <v>56.45</v>
      </c>
    </row>
    <row r="6478" spans="1:12">
      <c r="A6478" t="s">
        <v>6055</v>
      </c>
      <c r="B6478">
        <v>457780</v>
      </c>
      <c r="C6478" s="2" t="str">
        <f>"TR8D"</f>
        <v>TR8D</v>
      </c>
      <c r="D6478" t="s">
        <v>6549</v>
      </c>
      <c r="E6478" t="s">
        <v>4</v>
      </c>
      <c r="F6478">
        <v>13</v>
      </c>
      <c r="G6478">
        <v>6.5</v>
      </c>
      <c r="H6478" t="s">
        <v>175</v>
      </c>
      <c r="I6478" s="1">
        <v>36.08</v>
      </c>
      <c r="J6478" s="1">
        <v>34.270000000000003</v>
      </c>
      <c r="K6478" t="s">
        <v>457</v>
      </c>
      <c r="L6478" s="1">
        <v>37.700000000000003</v>
      </c>
    </row>
    <row r="6479" spans="1:12">
      <c r="A6479" t="s">
        <v>6055</v>
      </c>
      <c r="B6479">
        <v>451539</v>
      </c>
      <c r="C6479" s="2" t="str">
        <f>"TR8DD"</f>
        <v>TR8DD</v>
      </c>
      <c r="D6479" t="s">
        <v>6550</v>
      </c>
      <c r="E6479" t="s">
        <v>4</v>
      </c>
      <c r="F6479">
        <v>15</v>
      </c>
      <c r="G6479">
        <v>7.5</v>
      </c>
      <c r="H6479" t="s">
        <v>175</v>
      </c>
      <c r="I6479" s="1">
        <v>42.25</v>
      </c>
      <c r="J6479" s="1">
        <v>40.14</v>
      </c>
      <c r="K6479" t="s">
        <v>457</v>
      </c>
      <c r="L6479" s="1">
        <v>44.15</v>
      </c>
    </row>
    <row r="6480" spans="1:12">
      <c r="A6480" t="s">
        <v>6055</v>
      </c>
      <c r="B6480">
        <v>431495</v>
      </c>
      <c r="C6480" s="2" t="str">
        <f>"TR8DDD"</f>
        <v>TR8DDD</v>
      </c>
      <c r="D6480" t="s">
        <v>6551</v>
      </c>
      <c r="E6480" t="s">
        <v>4</v>
      </c>
      <c r="F6480">
        <v>18</v>
      </c>
      <c r="G6480">
        <v>9</v>
      </c>
      <c r="H6480" t="s">
        <v>175</v>
      </c>
      <c r="I6480" s="1">
        <v>53.3</v>
      </c>
      <c r="J6480" s="1">
        <v>50.64</v>
      </c>
      <c r="K6480" t="s">
        <v>457</v>
      </c>
      <c r="L6480" s="1">
        <v>55.7</v>
      </c>
    </row>
    <row r="6481" spans="1:12">
      <c r="A6481" t="s">
        <v>6055</v>
      </c>
      <c r="B6481">
        <v>459237</v>
      </c>
      <c r="C6481" s="2" t="str">
        <f>"TR8DDDD"</f>
        <v>TR8DDDD</v>
      </c>
      <c r="D6481" t="s">
        <v>6552</v>
      </c>
      <c r="E6481" t="s">
        <v>4</v>
      </c>
      <c r="F6481">
        <v>23</v>
      </c>
      <c r="G6481">
        <v>11.5</v>
      </c>
      <c r="H6481" t="s">
        <v>175</v>
      </c>
      <c r="I6481" s="1">
        <v>62.27</v>
      </c>
      <c r="J6481" s="1">
        <v>59.16</v>
      </c>
      <c r="K6481" t="s">
        <v>457</v>
      </c>
      <c r="L6481" s="1">
        <v>65.069999999999993</v>
      </c>
    </row>
    <row r="6482" spans="1:12">
      <c r="A6482" t="s">
        <v>6055</v>
      </c>
      <c r="B6482">
        <v>457781</v>
      </c>
      <c r="C6482" s="2" t="str">
        <f>"TR9E"</f>
        <v>TR9E</v>
      </c>
      <c r="D6482" t="s">
        <v>6553</v>
      </c>
      <c r="E6482" t="s">
        <v>4</v>
      </c>
      <c r="F6482">
        <v>13</v>
      </c>
      <c r="G6482">
        <v>6.5</v>
      </c>
      <c r="H6482" t="s">
        <v>175</v>
      </c>
      <c r="I6482" s="1">
        <v>37.57</v>
      </c>
      <c r="J6482" s="1">
        <v>35.69</v>
      </c>
      <c r="K6482" t="s">
        <v>457</v>
      </c>
      <c r="L6482" s="1">
        <v>39.26</v>
      </c>
    </row>
    <row r="6483" spans="1:12">
      <c r="A6483" t="s">
        <v>6055</v>
      </c>
      <c r="B6483">
        <v>460083</v>
      </c>
      <c r="C6483" s="2" t="str">
        <f>"TRA"</f>
        <v>TRA</v>
      </c>
      <c r="D6483" t="s">
        <v>6554</v>
      </c>
      <c r="E6483" t="s">
        <v>4</v>
      </c>
      <c r="F6483">
        <v>12</v>
      </c>
      <c r="G6483">
        <v>1</v>
      </c>
      <c r="H6483" t="s">
        <v>106</v>
      </c>
      <c r="I6483" s="1">
        <v>8.7100000000000009</v>
      </c>
      <c r="J6483" s="1">
        <v>8.27</v>
      </c>
      <c r="K6483" t="s">
        <v>457</v>
      </c>
      <c r="L6483" s="1">
        <v>9.1</v>
      </c>
    </row>
    <row r="6484" spans="1:12">
      <c r="A6484" t="s">
        <v>6055</v>
      </c>
      <c r="B6484">
        <v>460084</v>
      </c>
      <c r="C6484" s="2" t="str">
        <f>"TRB"</f>
        <v>TRB</v>
      </c>
      <c r="D6484" t="s">
        <v>6555</v>
      </c>
      <c r="E6484" t="s">
        <v>4</v>
      </c>
      <c r="F6484">
        <v>12</v>
      </c>
      <c r="G6484">
        <v>1</v>
      </c>
      <c r="H6484" t="s">
        <v>106</v>
      </c>
      <c r="I6484" s="1">
        <v>8.9700000000000006</v>
      </c>
      <c r="J6484" s="1">
        <v>8.52</v>
      </c>
      <c r="K6484" t="s">
        <v>457</v>
      </c>
      <c r="L6484" s="1">
        <v>9.3699999999999992</v>
      </c>
    </row>
    <row r="6485" spans="1:12">
      <c r="A6485" t="s">
        <v>6055</v>
      </c>
      <c r="B6485">
        <v>457786</v>
      </c>
      <c r="C6485" s="2" t="str">
        <f>"TRD"</f>
        <v>TRD</v>
      </c>
      <c r="D6485" t="s">
        <v>6556</v>
      </c>
      <c r="E6485" t="s">
        <v>4</v>
      </c>
      <c r="F6485">
        <v>20.04</v>
      </c>
      <c r="G6485">
        <v>1.67</v>
      </c>
      <c r="H6485" t="s">
        <v>106</v>
      </c>
      <c r="I6485" s="1">
        <v>8.9700000000000006</v>
      </c>
      <c r="J6485" s="1">
        <v>8.52</v>
      </c>
      <c r="K6485" t="s">
        <v>457</v>
      </c>
      <c r="L6485" s="1">
        <v>9.3699999999999992</v>
      </c>
    </row>
    <row r="6486" spans="1:12">
      <c r="A6486" t="s">
        <v>6055</v>
      </c>
      <c r="B6486">
        <v>460098</v>
      </c>
      <c r="C6486" s="2" t="str">
        <f>"TRG"</f>
        <v>TRG</v>
      </c>
      <c r="D6486" t="s">
        <v>6557</v>
      </c>
      <c r="E6486" t="s">
        <v>4</v>
      </c>
      <c r="F6486">
        <v>21.96</v>
      </c>
      <c r="G6486">
        <v>1.83</v>
      </c>
      <c r="H6486" t="s">
        <v>106</v>
      </c>
      <c r="I6486" s="1">
        <v>9.0399999999999991</v>
      </c>
      <c r="J6486" s="1">
        <v>8.58</v>
      </c>
      <c r="K6486" t="s">
        <v>457</v>
      </c>
      <c r="L6486" s="1">
        <v>9.44</v>
      </c>
    </row>
    <row r="6487" spans="1:12">
      <c r="A6487" t="s">
        <v>6055</v>
      </c>
      <c r="B6487">
        <v>379500</v>
      </c>
      <c r="C6487" s="2" t="str">
        <f>"Z4007"</f>
        <v>Z4007</v>
      </c>
      <c r="D6487" t="s">
        <v>6558</v>
      </c>
      <c r="E6487" t="s">
        <v>4</v>
      </c>
      <c r="F6487">
        <v>6.48</v>
      </c>
      <c r="G6487">
        <v>1.08</v>
      </c>
      <c r="H6487" t="s">
        <v>20</v>
      </c>
      <c r="I6487" s="1">
        <v>25.22</v>
      </c>
      <c r="J6487" s="1">
        <v>23.96</v>
      </c>
      <c r="K6487" t="s">
        <v>457</v>
      </c>
      <c r="L6487" s="1">
        <v>26.35</v>
      </c>
    </row>
    <row r="6488" spans="1:12">
      <c r="A6488" t="s">
        <v>6055</v>
      </c>
      <c r="B6488">
        <v>379502</v>
      </c>
      <c r="C6488" s="2" t="str">
        <f>"Z4008"</f>
        <v>Z4008</v>
      </c>
      <c r="D6488" t="s">
        <v>6559</v>
      </c>
      <c r="E6488" t="s">
        <v>4</v>
      </c>
      <c r="F6488">
        <v>8.58</v>
      </c>
      <c r="G6488">
        <v>1.43</v>
      </c>
      <c r="H6488" t="s">
        <v>20</v>
      </c>
      <c r="I6488" s="1">
        <v>29.71</v>
      </c>
      <c r="J6488" s="1">
        <v>28.22</v>
      </c>
      <c r="K6488" t="s">
        <v>457</v>
      </c>
      <c r="L6488" s="1">
        <v>31.04</v>
      </c>
    </row>
    <row r="6489" spans="1:12">
      <c r="A6489" t="s">
        <v>6055</v>
      </c>
      <c r="B6489">
        <v>535553</v>
      </c>
      <c r="C6489" s="2" t="str">
        <f>"Z4010"</f>
        <v>Z4010</v>
      </c>
      <c r="D6489" t="s">
        <v>6560</v>
      </c>
      <c r="E6489" t="s">
        <v>4</v>
      </c>
      <c r="F6489">
        <v>13.8</v>
      </c>
      <c r="G6489">
        <v>2.2999999999999998</v>
      </c>
      <c r="H6489" t="s">
        <v>20</v>
      </c>
      <c r="I6489" s="1">
        <v>41.34</v>
      </c>
      <c r="J6489" s="1">
        <v>39.270000000000003</v>
      </c>
      <c r="K6489" t="s">
        <v>21</v>
      </c>
      <c r="L6489" s="1">
        <v>43.2</v>
      </c>
    </row>
    <row r="6490" spans="1:12">
      <c r="A6490" t="s">
        <v>6055</v>
      </c>
      <c r="B6490">
        <v>535554</v>
      </c>
      <c r="C6490" s="2" t="str">
        <f>"Z4012"</f>
        <v>Z4012</v>
      </c>
      <c r="D6490" t="s">
        <v>6561</v>
      </c>
      <c r="E6490" t="s">
        <v>4</v>
      </c>
      <c r="F6490">
        <v>8.4</v>
      </c>
      <c r="G6490">
        <v>4.2</v>
      </c>
      <c r="H6490" t="s">
        <v>175</v>
      </c>
      <c r="I6490" s="1">
        <v>58.63</v>
      </c>
      <c r="J6490" s="1">
        <v>55.7</v>
      </c>
      <c r="K6490" t="s">
        <v>21</v>
      </c>
      <c r="L6490" s="1">
        <v>61.27</v>
      </c>
    </row>
    <row r="6491" spans="1:12">
      <c r="A6491" t="s">
        <v>6055</v>
      </c>
      <c r="B6491">
        <v>535555</v>
      </c>
      <c r="C6491" s="2" t="str">
        <f>"Z4014"</f>
        <v>Z4014</v>
      </c>
      <c r="D6491" t="s">
        <v>6562</v>
      </c>
      <c r="E6491" t="s">
        <v>4</v>
      </c>
      <c r="F6491">
        <v>10.76</v>
      </c>
      <c r="G6491">
        <v>5.38</v>
      </c>
      <c r="H6491" t="s">
        <v>175</v>
      </c>
      <c r="I6491" s="1">
        <v>77.61</v>
      </c>
      <c r="J6491" s="1">
        <v>73.73</v>
      </c>
      <c r="K6491" t="s">
        <v>21</v>
      </c>
      <c r="L6491" s="1">
        <v>81.099999999999994</v>
      </c>
    </row>
    <row r="6492" spans="1:12">
      <c r="A6492" t="s">
        <v>6563</v>
      </c>
      <c r="B6492">
        <v>437419</v>
      </c>
      <c r="C6492" s="2" t="str">
        <f>"1101"</f>
        <v>1101</v>
      </c>
      <c r="D6492" t="s">
        <v>6564</v>
      </c>
      <c r="E6492" t="s">
        <v>4</v>
      </c>
      <c r="F6492">
        <v>42</v>
      </c>
      <c r="G6492">
        <v>2.1</v>
      </c>
      <c r="H6492" t="s">
        <v>6193</v>
      </c>
      <c r="I6492" s="1">
        <v>6.63</v>
      </c>
      <c r="J6492" s="1">
        <v>6.56</v>
      </c>
      <c r="K6492" t="s">
        <v>4227</v>
      </c>
      <c r="L6492" s="1">
        <v>7.22</v>
      </c>
    </row>
    <row r="6493" spans="1:12">
      <c r="A6493" t="s">
        <v>6563</v>
      </c>
      <c r="B6493">
        <v>437421</v>
      </c>
      <c r="C6493" s="2" t="str">
        <f>"1105"</f>
        <v>1105</v>
      </c>
      <c r="D6493" t="s">
        <v>6565</v>
      </c>
      <c r="E6493" t="s">
        <v>4</v>
      </c>
      <c r="F6493">
        <v>37</v>
      </c>
      <c r="G6493">
        <v>1.48</v>
      </c>
      <c r="H6493" t="s">
        <v>4328</v>
      </c>
      <c r="I6493" s="1">
        <v>6.7</v>
      </c>
      <c r="J6493" s="1">
        <v>6.63</v>
      </c>
      <c r="K6493" t="s">
        <v>3830</v>
      </c>
      <c r="L6493" s="1">
        <v>7.29</v>
      </c>
    </row>
    <row r="6494" spans="1:12">
      <c r="A6494" t="s">
        <v>6563</v>
      </c>
      <c r="B6494">
        <v>437423</v>
      </c>
      <c r="C6494" s="2" t="str">
        <f>"1107"</f>
        <v>1107</v>
      </c>
      <c r="D6494" t="s">
        <v>6566</v>
      </c>
      <c r="E6494" t="s">
        <v>4</v>
      </c>
      <c r="F6494">
        <v>52</v>
      </c>
      <c r="G6494">
        <v>2.08</v>
      </c>
      <c r="H6494" t="s">
        <v>4328</v>
      </c>
      <c r="I6494" s="1">
        <v>6.99</v>
      </c>
      <c r="J6494" s="1">
        <v>6.92</v>
      </c>
      <c r="K6494" t="s">
        <v>3830</v>
      </c>
      <c r="L6494" s="1">
        <v>7.61</v>
      </c>
    </row>
    <row r="6495" spans="1:12">
      <c r="A6495" t="s">
        <v>6563</v>
      </c>
      <c r="B6495">
        <v>437424</v>
      </c>
      <c r="C6495" s="2" t="str">
        <f>"1112"</f>
        <v>1112</v>
      </c>
      <c r="D6495" t="s">
        <v>6567</v>
      </c>
      <c r="E6495" t="s">
        <v>4</v>
      </c>
      <c r="F6495">
        <v>37</v>
      </c>
      <c r="G6495">
        <v>1.48</v>
      </c>
      <c r="H6495" t="s">
        <v>4328</v>
      </c>
      <c r="I6495" s="1">
        <v>6.7</v>
      </c>
      <c r="J6495" s="1">
        <v>6.63</v>
      </c>
      <c r="K6495" t="s">
        <v>3830</v>
      </c>
      <c r="L6495" s="1">
        <v>7.29</v>
      </c>
    </row>
    <row r="6496" spans="1:12">
      <c r="A6496" t="s">
        <v>6563</v>
      </c>
      <c r="B6496">
        <v>437426</v>
      </c>
      <c r="C6496" s="2" t="str">
        <f>"1145"</f>
        <v>1145</v>
      </c>
      <c r="D6496" t="s">
        <v>6568</v>
      </c>
      <c r="E6496" t="s">
        <v>4</v>
      </c>
      <c r="F6496">
        <v>54</v>
      </c>
      <c r="G6496">
        <v>1.8</v>
      </c>
      <c r="H6496" t="s">
        <v>6569</v>
      </c>
      <c r="I6496" s="1">
        <v>7.16</v>
      </c>
      <c r="J6496" s="1">
        <v>7.09</v>
      </c>
      <c r="K6496" t="s">
        <v>1274</v>
      </c>
      <c r="L6496" s="1">
        <v>7.8</v>
      </c>
    </row>
    <row r="6497" spans="1:12">
      <c r="A6497" t="s">
        <v>6563</v>
      </c>
      <c r="B6497">
        <v>437429</v>
      </c>
      <c r="C6497" s="2" t="str">
        <f>"2805"</f>
        <v>2805</v>
      </c>
      <c r="D6497" t="s">
        <v>6570</v>
      </c>
      <c r="E6497" t="s">
        <v>4</v>
      </c>
      <c r="F6497">
        <v>68</v>
      </c>
      <c r="G6497">
        <v>2.72</v>
      </c>
      <c r="H6497" t="s">
        <v>4328</v>
      </c>
      <c r="I6497" s="1">
        <v>17.03</v>
      </c>
      <c r="J6497" s="1">
        <v>16.87</v>
      </c>
      <c r="K6497" t="s">
        <v>3830</v>
      </c>
      <c r="L6497" s="1">
        <v>18.55</v>
      </c>
    </row>
    <row r="6498" spans="1:12">
      <c r="A6498" t="s">
        <v>6563</v>
      </c>
      <c r="B6498">
        <v>437433</v>
      </c>
      <c r="C6498" s="2" t="str">
        <f>"2812"</f>
        <v>2812</v>
      </c>
      <c r="D6498" t="s">
        <v>6571</v>
      </c>
      <c r="E6498" t="s">
        <v>4</v>
      </c>
      <c r="F6498">
        <v>52</v>
      </c>
      <c r="G6498">
        <v>2.08</v>
      </c>
      <c r="H6498" t="s">
        <v>4328</v>
      </c>
      <c r="I6498" s="1">
        <v>15.18</v>
      </c>
      <c r="J6498" s="1">
        <v>15.04</v>
      </c>
      <c r="K6498" t="s">
        <v>3830</v>
      </c>
      <c r="L6498" s="1">
        <v>16.54</v>
      </c>
    </row>
    <row r="6499" spans="1:12">
      <c r="A6499" t="s">
        <v>6563</v>
      </c>
      <c r="B6499">
        <v>437435</v>
      </c>
      <c r="C6499" s="2" t="str">
        <f>"2845"</f>
        <v>2845</v>
      </c>
      <c r="D6499" t="s">
        <v>6572</v>
      </c>
      <c r="E6499" t="s">
        <v>4</v>
      </c>
      <c r="F6499">
        <v>72</v>
      </c>
      <c r="G6499">
        <v>2.88</v>
      </c>
      <c r="H6499" t="s">
        <v>4328</v>
      </c>
      <c r="I6499" s="1">
        <v>14.15</v>
      </c>
      <c r="J6499" s="1">
        <v>14.02</v>
      </c>
      <c r="K6499" t="s">
        <v>1274</v>
      </c>
      <c r="L6499" s="1">
        <v>15.42</v>
      </c>
    </row>
    <row r="6500" spans="1:12">
      <c r="A6500" t="s">
        <v>6563</v>
      </c>
      <c r="B6500">
        <v>437436</v>
      </c>
      <c r="C6500" s="2" t="str">
        <f>"2901"</f>
        <v>2901</v>
      </c>
      <c r="D6500" t="s">
        <v>6573</v>
      </c>
      <c r="E6500" t="s">
        <v>4</v>
      </c>
      <c r="F6500">
        <v>44</v>
      </c>
      <c r="G6500">
        <v>2.2000000000000002</v>
      </c>
      <c r="H6500" t="s">
        <v>6193</v>
      </c>
      <c r="I6500" s="1">
        <v>15.43</v>
      </c>
      <c r="J6500" s="1">
        <v>15.28</v>
      </c>
      <c r="K6500" t="s">
        <v>4227</v>
      </c>
      <c r="L6500" s="1">
        <v>16.8</v>
      </c>
    </row>
    <row r="6501" spans="1:12">
      <c r="A6501" t="s">
        <v>6563</v>
      </c>
      <c r="B6501">
        <v>437438</v>
      </c>
      <c r="C6501" s="2" t="str">
        <f>"2905"</f>
        <v>2905</v>
      </c>
      <c r="D6501" t="s">
        <v>6574</v>
      </c>
      <c r="E6501" t="s">
        <v>4</v>
      </c>
      <c r="F6501">
        <v>44</v>
      </c>
      <c r="G6501">
        <v>1.76</v>
      </c>
      <c r="H6501" t="s">
        <v>4328</v>
      </c>
      <c r="I6501" s="1">
        <v>13.76</v>
      </c>
      <c r="J6501" s="1">
        <v>13.63</v>
      </c>
      <c r="K6501" t="s">
        <v>3830</v>
      </c>
      <c r="L6501" s="1">
        <v>14.99</v>
      </c>
    </row>
    <row r="6502" spans="1:12">
      <c r="A6502" t="s">
        <v>6563</v>
      </c>
      <c r="B6502">
        <v>437440</v>
      </c>
      <c r="C6502" s="2" t="str">
        <f>"2907"</f>
        <v>2907</v>
      </c>
      <c r="D6502" t="s">
        <v>6575</v>
      </c>
      <c r="E6502" t="s">
        <v>4</v>
      </c>
      <c r="F6502">
        <v>53</v>
      </c>
      <c r="G6502">
        <v>2.12</v>
      </c>
      <c r="H6502" t="s">
        <v>4328</v>
      </c>
      <c r="I6502" s="1">
        <v>13.76</v>
      </c>
      <c r="J6502" s="1">
        <v>13.63</v>
      </c>
      <c r="K6502" t="s">
        <v>3830</v>
      </c>
      <c r="L6502" s="1">
        <v>14.99</v>
      </c>
    </row>
    <row r="6503" spans="1:12">
      <c r="A6503" t="s">
        <v>6563</v>
      </c>
      <c r="B6503">
        <v>437453</v>
      </c>
      <c r="C6503" s="2" t="str">
        <f>"2945"</f>
        <v>2945</v>
      </c>
      <c r="D6503" t="s">
        <v>6576</v>
      </c>
      <c r="E6503" t="s">
        <v>4</v>
      </c>
      <c r="F6503">
        <v>35.1</v>
      </c>
      <c r="G6503">
        <v>1.17</v>
      </c>
      <c r="H6503" t="s">
        <v>6569</v>
      </c>
      <c r="I6503" s="1">
        <v>12.08</v>
      </c>
      <c r="J6503" s="1">
        <v>11.96</v>
      </c>
      <c r="K6503" t="s">
        <v>1274</v>
      </c>
      <c r="L6503" s="1">
        <v>13.16</v>
      </c>
    </row>
    <row r="6504" spans="1:12">
      <c r="A6504" t="s">
        <v>6563</v>
      </c>
      <c r="B6504">
        <v>437470</v>
      </c>
      <c r="C6504" s="2" t="str">
        <f>"5101"</f>
        <v>5101</v>
      </c>
      <c r="D6504" t="s">
        <v>6577</v>
      </c>
      <c r="E6504" t="s">
        <v>4</v>
      </c>
      <c r="F6504">
        <v>44</v>
      </c>
      <c r="G6504">
        <v>2.2000000000000002</v>
      </c>
      <c r="H6504" t="s">
        <v>6193</v>
      </c>
      <c r="I6504" s="1">
        <v>12.53</v>
      </c>
      <c r="J6504" s="1">
        <v>12.41</v>
      </c>
      <c r="K6504" t="s">
        <v>4227</v>
      </c>
      <c r="L6504" s="1">
        <v>13.65</v>
      </c>
    </row>
    <row r="6505" spans="1:12">
      <c r="A6505" t="s">
        <v>6563</v>
      </c>
      <c r="B6505">
        <v>437473</v>
      </c>
      <c r="C6505" s="2" t="str">
        <f>"5105"</f>
        <v>5105</v>
      </c>
      <c r="D6505" t="s">
        <v>6578</v>
      </c>
      <c r="E6505" t="s">
        <v>4</v>
      </c>
      <c r="F6505">
        <v>51</v>
      </c>
      <c r="G6505">
        <v>2.04</v>
      </c>
      <c r="H6505" t="s">
        <v>4328</v>
      </c>
      <c r="I6505" s="1">
        <v>13.34</v>
      </c>
      <c r="J6505" s="1">
        <v>13.21</v>
      </c>
      <c r="K6505" t="s">
        <v>3830</v>
      </c>
      <c r="L6505" s="1">
        <v>14.53</v>
      </c>
    </row>
    <row r="6506" spans="1:12">
      <c r="A6506" t="s">
        <v>6563</v>
      </c>
      <c r="B6506">
        <v>437474</v>
      </c>
      <c r="C6506" s="2" t="str">
        <f>"51054"</f>
        <v>51054</v>
      </c>
      <c r="D6506" t="s">
        <v>6578</v>
      </c>
      <c r="E6506" t="s">
        <v>4</v>
      </c>
      <c r="F6506">
        <v>55</v>
      </c>
      <c r="G6506">
        <v>2.2000000000000002</v>
      </c>
      <c r="H6506" t="s">
        <v>4328</v>
      </c>
      <c r="I6506" s="1">
        <v>13.34</v>
      </c>
      <c r="J6506" s="1">
        <v>13.21</v>
      </c>
      <c r="K6506" t="s">
        <v>3830</v>
      </c>
      <c r="L6506" s="1">
        <v>14.53</v>
      </c>
    </row>
    <row r="6507" spans="1:12">
      <c r="A6507" t="s">
        <v>6563</v>
      </c>
      <c r="B6507">
        <v>437475</v>
      </c>
      <c r="C6507" s="2" t="str">
        <f>"5106"</f>
        <v>5106</v>
      </c>
      <c r="D6507" t="s">
        <v>6579</v>
      </c>
      <c r="E6507" t="s">
        <v>4</v>
      </c>
      <c r="F6507">
        <v>33</v>
      </c>
      <c r="G6507">
        <v>1.32</v>
      </c>
      <c r="H6507" t="s">
        <v>4328</v>
      </c>
      <c r="I6507" s="1">
        <v>13.34</v>
      </c>
      <c r="J6507" s="1">
        <v>13.21</v>
      </c>
      <c r="K6507" t="s">
        <v>3830</v>
      </c>
      <c r="L6507" s="1">
        <v>14.53</v>
      </c>
    </row>
    <row r="6508" spans="1:12">
      <c r="A6508" t="s">
        <v>6563</v>
      </c>
      <c r="B6508">
        <v>437476</v>
      </c>
      <c r="C6508" s="2" t="str">
        <f>"5112"</f>
        <v>5112</v>
      </c>
      <c r="D6508" t="s">
        <v>6580</v>
      </c>
      <c r="E6508" t="s">
        <v>4</v>
      </c>
      <c r="F6508">
        <v>36</v>
      </c>
      <c r="G6508">
        <v>1.44</v>
      </c>
      <c r="H6508" t="s">
        <v>4328</v>
      </c>
      <c r="I6508" s="1">
        <v>13.34</v>
      </c>
      <c r="J6508" s="1">
        <v>13.21</v>
      </c>
      <c r="K6508" t="s">
        <v>3830</v>
      </c>
      <c r="L6508" s="1">
        <v>14.53</v>
      </c>
    </row>
    <row r="6509" spans="1:12">
      <c r="A6509" t="s">
        <v>6563</v>
      </c>
      <c r="B6509">
        <v>437477</v>
      </c>
      <c r="C6509" s="2" t="str">
        <f>"5145"</f>
        <v>5145</v>
      </c>
      <c r="D6509" t="s">
        <v>6581</v>
      </c>
      <c r="E6509" t="s">
        <v>4</v>
      </c>
      <c r="F6509">
        <v>63</v>
      </c>
      <c r="G6509">
        <v>2.1</v>
      </c>
      <c r="H6509" t="s">
        <v>6569</v>
      </c>
      <c r="I6509" s="1">
        <v>13.35</v>
      </c>
      <c r="J6509" s="1">
        <v>13.22</v>
      </c>
      <c r="K6509" t="s">
        <v>1274</v>
      </c>
      <c r="L6509" s="1">
        <v>14.54</v>
      </c>
    </row>
    <row r="6510" spans="1:12">
      <c r="A6510" t="s">
        <v>6563</v>
      </c>
      <c r="B6510">
        <v>437462</v>
      </c>
      <c r="C6510" s="2" t="str">
        <f>"5501"</f>
        <v>5501</v>
      </c>
      <c r="D6510" t="s">
        <v>6582</v>
      </c>
      <c r="E6510" t="s">
        <v>4</v>
      </c>
      <c r="F6510">
        <v>42</v>
      </c>
      <c r="G6510">
        <v>2.1</v>
      </c>
      <c r="H6510" t="s">
        <v>6193</v>
      </c>
      <c r="I6510" s="1">
        <v>12.33</v>
      </c>
      <c r="J6510" s="1">
        <v>12.21</v>
      </c>
      <c r="K6510" t="s">
        <v>4227</v>
      </c>
      <c r="L6510" s="1">
        <v>13.43</v>
      </c>
    </row>
    <row r="6511" spans="1:12">
      <c r="A6511" t="s">
        <v>6563</v>
      </c>
      <c r="B6511">
        <v>437463</v>
      </c>
      <c r="C6511" s="2" t="str">
        <f>"5505"</f>
        <v>5505</v>
      </c>
      <c r="D6511" t="s">
        <v>6583</v>
      </c>
      <c r="E6511" t="s">
        <v>4</v>
      </c>
      <c r="F6511">
        <v>44</v>
      </c>
      <c r="G6511">
        <v>1.76</v>
      </c>
      <c r="H6511" t="s">
        <v>4328</v>
      </c>
      <c r="I6511" s="1">
        <v>11.38</v>
      </c>
      <c r="J6511" s="1">
        <v>11.27</v>
      </c>
      <c r="K6511" t="s">
        <v>3830</v>
      </c>
      <c r="L6511" s="1">
        <v>12.4</v>
      </c>
    </row>
    <row r="6512" spans="1:12">
      <c r="A6512" t="s">
        <v>6563</v>
      </c>
      <c r="B6512">
        <v>437465</v>
      </c>
      <c r="C6512" s="2" t="str">
        <f>"5507"</f>
        <v>5507</v>
      </c>
      <c r="D6512" t="s">
        <v>6584</v>
      </c>
      <c r="E6512" t="s">
        <v>4</v>
      </c>
      <c r="F6512">
        <v>44</v>
      </c>
      <c r="G6512">
        <v>1.76</v>
      </c>
      <c r="H6512" t="s">
        <v>4328</v>
      </c>
      <c r="I6512" s="1">
        <v>11.38</v>
      </c>
      <c r="J6512" s="1">
        <v>11.27</v>
      </c>
      <c r="K6512" t="s">
        <v>3830</v>
      </c>
      <c r="L6512" s="1">
        <v>12.4</v>
      </c>
    </row>
    <row r="6513" spans="1:12">
      <c r="A6513" t="s">
        <v>6563</v>
      </c>
      <c r="B6513">
        <v>437466</v>
      </c>
      <c r="C6513" s="2" t="str">
        <f>"5512"</f>
        <v>5512</v>
      </c>
      <c r="D6513" t="s">
        <v>6585</v>
      </c>
      <c r="E6513" t="s">
        <v>4</v>
      </c>
      <c r="F6513">
        <v>38</v>
      </c>
      <c r="G6513">
        <v>1.52</v>
      </c>
      <c r="H6513" t="s">
        <v>4328</v>
      </c>
      <c r="I6513" s="1">
        <v>10.9</v>
      </c>
      <c r="J6513" s="1">
        <v>10.79</v>
      </c>
      <c r="K6513" t="s">
        <v>3830</v>
      </c>
      <c r="L6513" s="1">
        <v>11.87</v>
      </c>
    </row>
    <row r="6514" spans="1:12">
      <c r="A6514" t="s">
        <v>6563</v>
      </c>
      <c r="B6514">
        <v>437469</v>
      </c>
      <c r="C6514" s="2" t="str">
        <f>"5545"</f>
        <v>5545</v>
      </c>
      <c r="D6514" t="s">
        <v>6586</v>
      </c>
      <c r="E6514" t="s">
        <v>4</v>
      </c>
      <c r="F6514">
        <v>60.9</v>
      </c>
      <c r="G6514">
        <v>2.0299999999999998</v>
      </c>
      <c r="H6514" t="s">
        <v>6569</v>
      </c>
      <c r="I6514" s="1">
        <v>9.2100000000000009</v>
      </c>
      <c r="J6514" s="1">
        <v>9.1199999999999992</v>
      </c>
      <c r="K6514" t="s">
        <v>1274</v>
      </c>
      <c r="L6514" s="1">
        <v>10.039999999999999</v>
      </c>
    </row>
    <row r="6515" spans="1:12">
      <c r="A6515" t="s">
        <v>6563</v>
      </c>
      <c r="B6515">
        <v>437492</v>
      </c>
      <c r="C6515" s="2" t="str">
        <f>"620527"</f>
        <v>620527</v>
      </c>
      <c r="D6515" t="s">
        <v>6587</v>
      </c>
      <c r="E6515" t="s">
        <v>4</v>
      </c>
      <c r="F6515">
        <v>53</v>
      </c>
      <c r="G6515">
        <v>2.12</v>
      </c>
      <c r="H6515" t="s">
        <v>4328</v>
      </c>
      <c r="I6515" s="1">
        <v>10.91</v>
      </c>
      <c r="J6515" s="1">
        <v>10.81</v>
      </c>
      <c r="K6515" t="s">
        <v>1274</v>
      </c>
      <c r="L6515" s="1">
        <v>11.89</v>
      </c>
    </row>
    <row r="6516" spans="1:12">
      <c r="A6516" t="s">
        <v>6563</v>
      </c>
      <c r="B6516">
        <v>437696</v>
      </c>
      <c r="C6516" s="2" t="str">
        <f>"6601"</f>
        <v>6601</v>
      </c>
      <c r="D6516" t="s">
        <v>6588</v>
      </c>
      <c r="E6516" t="s">
        <v>4</v>
      </c>
      <c r="F6516">
        <v>3.65</v>
      </c>
      <c r="H6516" t="s">
        <v>5</v>
      </c>
      <c r="I6516" s="1">
        <v>22.82</v>
      </c>
      <c r="J6516" s="1">
        <v>22.6</v>
      </c>
      <c r="K6516" t="s">
        <v>6</v>
      </c>
    </row>
    <row r="6517" spans="1:12">
      <c r="A6517" t="s">
        <v>6563</v>
      </c>
      <c r="B6517">
        <v>437698</v>
      </c>
      <c r="C6517" s="2" t="str">
        <f>"6605"</f>
        <v>6605</v>
      </c>
      <c r="D6517" t="s">
        <v>6589</v>
      </c>
      <c r="E6517" t="s">
        <v>4</v>
      </c>
      <c r="F6517">
        <v>2.92</v>
      </c>
      <c r="H6517" t="s">
        <v>5</v>
      </c>
      <c r="I6517" s="1">
        <v>22.04</v>
      </c>
      <c r="J6517" s="1">
        <v>21.83</v>
      </c>
      <c r="K6517" t="s">
        <v>6</v>
      </c>
    </row>
    <row r="6518" spans="1:12">
      <c r="A6518" t="s">
        <v>6563</v>
      </c>
      <c r="B6518">
        <v>437699</v>
      </c>
      <c r="C6518" s="2" t="str">
        <f>"66051"</f>
        <v>66051</v>
      </c>
      <c r="D6518" t="s">
        <v>6590</v>
      </c>
      <c r="E6518" t="s">
        <v>4</v>
      </c>
      <c r="F6518">
        <v>3.67</v>
      </c>
      <c r="H6518" t="s">
        <v>5</v>
      </c>
      <c r="I6518" s="1">
        <v>23.75</v>
      </c>
      <c r="J6518" s="1">
        <v>23.52</v>
      </c>
      <c r="K6518" t="s">
        <v>6</v>
      </c>
    </row>
    <row r="6519" spans="1:12">
      <c r="A6519" t="s">
        <v>6563</v>
      </c>
      <c r="B6519">
        <v>437494</v>
      </c>
      <c r="C6519" s="2" t="str">
        <f>"660527"</f>
        <v>660527</v>
      </c>
      <c r="D6519" t="s">
        <v>6591</v>
      </c>
      <c r="E6519" t="s">
        <v>4</v>
      </c>
      <c r="F6519">
        <v>58</v>
      </c>
      <c r="G6519">
        <v>2.3199999999999998</v>
      </c>
      <c r="H6519" t="s">
        <v>4328</v>
      </c>
      <c r="I6519" s="1">
        <v>18.22</v>
      </c>
      <c r="J6519" s="1">
        <v>18.05</v>
      </c>
      <c r="K6519" t="s">
        <v>1274</v>
      </c>
      <c r="L6519" s="1">
        <v>19.850000000000001</v>
      </c>
    </row>
    <row r="6520" spans="1:12">
      <c r="A6520" t="s">
        <v>6563</v>
      </c>
      <c r="B6520">
        <v>437707</v>
      </c>
      <c r="C6520" s="2" t="str">
        <f>"6606"</f>
        <v>6606</v>
      </c>
      <c r="D6520" t="s">
        <v>6592</v>
      </c>
      <c r="E6520" t="s">
        <v>4</v>
      </c>
      <c r="F6520">
        <v>2.08</v>
      </c>
      <c r="H6520" t="s">
        <v>5</v>
      </c>
      <c r="I6520" s="1">
        <v>17.010000000000002</v>
      </c>
      <c r="J6520" s="1">
        <v>16.84</v>
      </c>
      <c r="K6520" t="s">
        <v>6</v>
      </c>
    </row>
    <row r="6521" spans="1:12">
      <c r="A6521" t="s">
        <v>6563</v>
      </c>
      <c r="B6521">
        <v>437708</v>
      </c>
      <c r="C6521" s="2" t="str">
        <f>"6612"</f>
        <v>6612</v>
      </c>
      <c r="D6521" t="s">
        <v>6593</v>
      </c>
      <c r="E6521" t="s">
        <v>4</v>
      </c>
      <c r="F6521">
        <v>2.64</v>
      </c>
      <c r="H6521" t="s">
        <v>5</v>
      </c>
      <c r="I6521" s="1">
        <v>17.940000000000001</v>
      </c>
      <c r="J6521" s="1">
        <v>17.77</v>
      </c>
      <c r="K6521" t="s">
        <v>6</v>
      </c>
    </row>
    <row r="6522" spans="1:12">
      <c r="A6522" t="s">
        <v>6563</v>
      </c>
      <c r="B6522">
        <v>437709</v>
      </c>
      <c r="C6522" s="2" t="str">
        <f>"6615"</f>
        <v>6615</v>
      </c>
      <c r="D6522" t="s">
        <v>6594</v>
      </c>
      <c r="E6522" t="s">
        <v>4</v>
      </c>
      <c r="F6522">
        <v>1.1599999999999999</v>
      </c>
      <c r="H6522" t="s">
        <v>5</v>
      </c>
      <c r="I6522" s="1">
        <v>16.47</v>
      </c>
      <c r="J6522" s="1">
        <v>16.309999999999999</v>
      </c>
      <c r="K6522" t="s">
        <v>6</v>
      </c>
    </row>
    <row r="6523" spans="1:12">
      <c r="A6523" t="s">
        <v>6563</v>
      </c>
      <c r="B6523">
        <v>561173</v>
      </c>
      <c r="C6523" s="2" t="str">
        <f>"6629"</f>
        <v>6629</v>
      </c>
      <c r="D6523" t="s">
        <v>6595</v>
      </c>
      <c r="E6523" t="s">
        <v>4</v>
      </c>
      <c r="F6523">
        <v>1.5</v>
      </c>
      <c r="H6523" t="s">
        <v>5</v>
      </c>
      <c r="I6523" s="1">
        <v>20.8</v>
      </c>
      <c r="J6523" s="1">
        <v>20.6</v>
      </c>
      <c r="K6523" t="s">
        <v>6</v>
      </c>
    </row>
    <row r="6524" spans="1:12">
      <c r="A6524" t="s">
        <v>6563</v>
      </c>
      <c r="B6524">
        <v>437710</v>
      </c>
      <c r="C6524" s="2" t="str">
        <f>"6645"</f>
        <v>6645</v>
      </c>
      <c r="D6524" t="s">
        <v>6596</v>
      </c>
      <c r="E6524" t="s">
        <v>4</v>
      </c>
      <c r="F6524">
        <v>2.56</v>
      </c>
      <c r="H6524" t="s">
        <v>5</v>
      </c>
      <c r="I6524" s="1">
        <v>18.29</v>
      </c>
      <c r="J6524" s="1">
        <v>18.11</v>
      </c>
      <c r="K6524" t="s">
        <v>6</v>
      </c>
    </row>
    <row r="6525" spans="1:12">
      <c r="A6525" t="s">
        <v>6563</v>
      </c>
      <c r="B6525">
        <v>437543</v>
      </c>
      <c r="C6525" s="2" t="str">
        <f>"7201"</f>
        <v>7201</v>
      </c>
      <c r="D6525" t="s">
        <v>6597</v>
      </c>
      <c r="E6525" t="s">
        <v>4</v>
      </c>
      <c r="F6525">
        <v>34</v>
      </c>
      <c r="G6525">
        <v>1.7</v>
      </c>
      <c r="H6525" t="s">
        <v>6193</v>
      </c>
      <c r="I6525" s="1">
        <v>3.59</v>
      </c>
      <c r="J6525" s="1">
        <v>3.56</v>
      </c>
      <c r="K6525" t="s">
        <v>4227</v>
      </c>
      <c r="L6525" s="1">
        <v>3.91</v>
      </c>
    </row>
    <row r="6526" spans="1:12">
      <c r="A6526" t="s">
        <v>6563</v>
      </c>
      <c r="B6526">
        <v>437546</v>
      </c>
      <c r="C6526" s="2" t="str">
        <f>"7204"</f>
        <v>7204</v>
      </c>
      <c r="D6526" t="s">
        <v>6598</v>
      </c>
      <c r="E6526" t="s">
        <v>4</v>
      </c>
      <c r="F6526">
        <v>36</v>
      </c>
      <c r="G6526">
        <v>1.44</v>
      </c>
      <c r="H6526" t="s">
        <v>4328</v>
      </c>
      <c r="I6526" s="1">
        <v>3.76</v>
      </c>
      <c r="J6526" s="1">
        <v>3.72</v>
      </c>
      <c r="K6526" t="s">
        <v>3830</v>
      </c>
      <c r="L6526" s="1">
        <v>4.09</v>
      </c>
    </row>
    <row r="6527" spans="1:12">
      <c r="A6527" t="s">
        <v>6563</v>
      </c>
      <c r="B6527">
        <v>437547</v>
      </c>
      <c r="C6527" s="2" t="str">
        <f>"7205"</f>
        <v>7205</v>
      </c>
      <c r="D6527" t="s">
        <v>6599</v>
      </c>
      <c r="E6527" t="s">
        <v>4</v>
      </c>
      <c r="F6527">
        <v>35</v>
      </c>
      <c r="G6527">
        <v>1.4</v>
      </c>
      <c r="H6527" t="s">
        <v>4328</v>
      </c>
      <c r="I6527" s="1">
        <v>3.76</v>
      </c>
      <c r="J6527" s="1">
        <v>3.72</v>
      </c>
      <c r="K6527" t="s">
        <v>3830</v>
      </c>
      <c r="L6527" s="1">
        <v>4.09</v>
      </c>
    </row>
    <row r="6528" spans="1:12">
      <c r="A6528" t="s">
        <v>6563</v>
      </c>
      <c r="B6528">
        <v>437552</v>
      </c>
      <c r="C6528" s="2" t="str">
        <f>"7206"</f>
        <v>7206</v>
      </c>
      <c r="D6528" t="s">
        <v>6600</v>
      </c>
      <c r="E6528" t="s">
        <v>4</v>
      </c>
      <c r="F6528">
        <v>28</v>
      </c>
      <c r="G6528">
        <v>1.1200000000000001</v>
      </c>
      <c r="H6528" t="s">
        <v>4328</v>
      </c>
      <c r="I6528" s="1">
        <v>3.48</v>
      </c>
      <c r="J6528" s="1">
        <v>3.45</v>
      </c>
      <c r="K6528" t="s">
        <v>3830</v>
      </c>
      <c r="L6528" s="1">
        <v>3.79</v>
      </c>
    </row>
    <row r="6529" spans="1:12">
      <c r="A6529" t="s">
        <v>6563</v>
      </c>
      <c r="B6529">
        <v>437545</v>
      </c>
      <c r="C6529" s="2" t="str">
        <f>"7207"</f>
        <v>7207</v>
      </c>
      <c r="D6529" t="s">
        <v>6601</v>
      </c>
      <c r="E6529" t="s">
        <v>4</v>
      </c>
      <c r="F6529">
        <v>39</v>
      </c>
      <c r="G6529">
        <v>1.56</v>
      </c>
      <c r="H6529" t="s">
        <v>4328</v>
      </c>
      <c r="I6529" s="1">
        <v>3.76</v>
      </c>
      <c r="J6529" s="1">
        <v>3.72</v>
      </c>
      <c r="K6529" t="s">
        <v>3830</v>
      </c>
      <c r="L6529" s="1">
        <v>4.09</v>
      </c>
    </row>
    <row r="6530" spans="1:12">
      <c r="A6530" t="s">
        <v>6563</v>
      </c>
      <c r="B6530">
        <v>437544</v>
      </c>
      <c r="C6530" s="2" t="str">
        <f>"7212"</f>
        <v>7212</v>
      </c>
      <c r="D6530" t="s">
        <v>6602</v>
      </c>
      <c r="E6530" t="s">
        <v>4</v>
      </c>
      <c r="F6530">
        <v>31</v>
      </c>
      <c r="G6530">
        <v>1.24</v>
      </c>
      <c r="H6530" t="s">
        <v>4328</v>
      </c>
      <c r="I6530" s="1">
        <v>3.48</v>
      </c>
      <c r="J6530" s="1">
        <v>3.45</v>
      </c>
      <c r="K6530" t="s">
        <v>3830</v>
      </c>
      <c r="L6530" s="1">
        <v>3.79</v>
      </c>
    </row>
    <row r="6531" spans="1:12">
      <c r="A6531" t="s">
        <v>6563</v>
      </c>
      <c r="B6531">
        <v>437553</v>
      </c>
      <c r="C6531" s="2" t="str">
        <f>"7224"</f>
        <v>7224</v>
      </c>
      <c r="D6531" t="s">
        <v>6603</v>
      </c>
      <c r="E6531" t="s">
        <v>4</v>
      </c>
      <c r="F6531">
        <v>36.9</v>
      </c>
      <c r="G6531">
        <v>1.23</v>
      </c>
      <c r="H6531" t="s">
        <v>6569</v>
      </c>
      <c r="I6531" s="1">
        <v>3.7</v>
      </c>
      <c r="J6531" s="1">
        <v>3.67</v>
      </c>
      <c r="K6531" t="s">
        <v>1274</v>
      </c>
      <c r="L6531" s="1">
        <v>4.03</v>
      </c>
    </row>
    <row r="6532" spans="1:12">
      <c r="A6532" t="s">
        <v>6563</v>
      </c>
      <c r="B6532">
        <v>437554</v>
      </c>
      <c r="C6532" s="2" t="str">
        <f>"7401"</f>
        <v>7401</v>
      </c>
      <c r="D6532" t="s">
        <v>4280</v>
      </c>
      <c r="E6532" t="s">
        <v>4</v>
      </c>
      <c r="F6532">
        <v>34</v>
      </c>
      <c r="G6532">
        <v>1.7</v>
      </c>
      <c r="H6532" t="s">
        <v>6193</v>
      </c>
      <c r="I6532" s="1">
        <v>3.59</v>
      </c>
      <c r="J6532" s="1">
        <v>3.56</v>
      </c>
      <c r="K6532" t="s">
        <v>4227</v>
      </c>
      <c r="L6532" s="1">
        <v>3.91</v>
      </c>
    </row>
    <row r="6533" spans="1:12">
      <c r="A6533" t="s">
        <v>6563</v>
      </c>
      <c r="B6533">
        <v>437570</v>
      </c>
      <c r="C6533" s="2" t="str">
        <f>"7404"</f>
        <v>7404</v>
      </c>
      <c r="D6533" t="s">
        <v>6604</v>
      </c>
      <c r="E6533" t="s">
        <v>4</v>
      </c>
      <c r="F6533">
        <v>36</v>
      </c>
      <c r="G6533">
        <v>1.44</v>
      </c>
      <c r="H6533" t="s">
        <v>4328</v>
      </c>
      <c r="I6533" s="1">
        <v>3.76</v>
      </c>
      <c r="J6533" s="1">
        <v>3.72</v>
      </c>
      <c r="K6533" t="s">
        <v>3830</v>
      </c>
      <c r="L6533" s="1">
        <v>4.09</v>
      </c>
    </row>
    <row r="6534" spans="1:12">
      <c r="A6534" t="s">
        <v>6563</v>
      </c>
      <c r="B6534">
        <v>437571</v>
      </c>
      <c r="C6534" s="2" t="str">
        <f>"7405"</f>
        <v>7405</v>
      </c>
      <c r="D6534" t="s">
        <v>6605</v>
      </c>
      <c r="E6534" t="s">
        <v>4</v>
      </c>
      <c r="F6534">
        <v>35</v>
      </c>
      <c r="G6534">
        <v>1.4</v>
      </c>
      <c r="H6534" t="s">
        <v>4328</v>
      </c>
      <c r="I6534" s="1">
        <v>3.76</v>
      </c>
      <c r="J6534" s="1">
        <v>3.72</v>
      </c>
      <c r="K6534" t="s">
        <v>3830</v>
      </c>
      <c r="L6534" s="1">
        <v>4.09</v>
      </c>
    </row>
    <row r="6535" spans="1:12">
      <c r="A6535" t="s">
        <v>6563</v>
      </c>
      <c r="B6535">
        <v>437572</v>
      </c>
      <c r="C6535" s="2" t="str">
        <f>"7406"</f>
        <v>7406</v>
      </c>
      <c r="D6535" t="s">
        <v>6606</v>
      </c>
      <c r="E6535" t="s">
        <v>4</v>
      </c>
      <c r="F6535">
        <v>28</v>
      </c>
      <c r="G6535">
        <v>1.1200000000000001</v>
      </c>
      <c r="H6535" t="s">
        <v>4328</v>
      </c>
      <c r="I6535" s="1">
        <v>3.48</v>
      </c>
      <c r="J6535" s="1">
        <v>3.45</v>
      </c>
      <c r="K6535" t="s">
        <v>3830</v>
      </c>
      <c r="L6535" s="1">
        <v>3.79</v>
      </c>
    </row>
    <row r="6536" spans="1:12">
      <c r="A6536" t="s">
        <v>6563</v>
      </c>
      <c r="B6536">
        <v>437556</v>
      </c>
      <c r="C6536" s="2" t="str">
        <f>"7407"</f>
        <v>7407</v>
      </c>
      <c r="D6536" t="s">
        <v>6607</v>
      </c>
      <c r="E6536" t="s">
        <v>4</v>
      </c>
      <c r="F6536">
        <v>39</v>
      </c>
      <c r="G6536">
        <v>1.56</v>
      </c>
      <c r="H6536" t="s">
        <v>4328</v>
      </c>
      <c r="I6536" s="1">
        <v>3.76</v>
      </c>
      <c r="J6536" s="1">
        <v>3.72</v>
      </c>
      <c r="K6536" t="s">
        <v>3830</v>
      </c>
      <c r="L6536" s="1">
        <v>4.09</v>
      </c>
    </row>
    <row r="6537" spans="1:12">
      <c r="A6537" t="s">
        <v>6563</v>
      </c>
      <c r="B6537">
        <v>437555</v>
      </c>
      <c r="C6537" s="2" t="str">
        <f>"7412"</f>
        <v>7412</v>
      </c>
      <c r="D6537" t="s">
        <v>6608</v>
      </c>
      <c r="E6537" t="s">
        <v>4</v>
      </c>
      <c r="F6537">
        <v>31</v>
      </c>
      <c r="G6537">
        <v>1.24</v>
      </c>
      <c r="H6537" t="s">
        <v>4328</v>
      </c>
      <c r="I6537" s="1">
        <v>3.48</v>
      </c>
      <c r="J6537" s="1">
        <v>3.45</v>
      </c>
      <c r="K6537" t="s">
        <v>3830</v>
      </c>
      <c r="L6537" s="1">
        <v>3.79</v>
      </c>
    </row>
    <row r="6538" spans="1:12">
      <c r="A6538" t="s">
        <v>6563</v>
      </c>
      <c r="B6538">
        <v>437746</v>
      </c>
      <c r="C6538" s="2" t="str">
        <f>"74149"</f>
        <v>74149</v>
      </c>
      <c r="D6538" t="s">
        <v>6609</v>
      </c>
      <c r="E6538" t="s">
        <v>4</v>
      </c>
      <c r="F6538">
        <v>44.04</v>
      </c>
      <c r="G6538">
        <v>3.67</v>
      </c>
      <c r="H6538" t="s">
        <v>106</v>
      </c>
      <c r="I6538" s="1">
        <v>14.7</v>
      </c>
      <c r="J6538" s="1">
        <v>14.41</v>
      </c>
      <c r="K6538" t="s">
        <v>21</v>
      </c>
      <c r="L6538" s="1">
        <v>15.85</v>
      </c>
    </row>
    <row r="6539" spans="1:12">
      <c r="A6539" t="s">
        <v>6563</v>
      </c>
      <c r="B6539">
        <v>437748</v>
      </c>
      <c r="C6539" s="2" t="str">
        <f>"74151"</f>
        <v>74151</v>
      </c>
      <c r="D6539" t="s">
        <v>6610</v>
      </c>
      <c r="E6539" t="s">
        <v>4</v>
      </c>
      <c r="F6539">
        <v>7.5</v>
      </c>
      <c r="G6539">
        <v>0.75</v>
      </c>
      <c r="H6539" t="s">
        <v>108</v>
      </c>
      <c r="I6539" s="1">
        <v>13.47</v>
      </c>
      <c r="J6539" s="1">
        <v>13.21</v>
      </c>
      <c r="K6539" t="s">
        <v>21</v>
      </c>
      <c r="L6539" s="1">
        <v>14.53</v>
      </c>
    </row>
    <row r="6540" spans="1:12">
      <c r="A6540" t="s">
        <v>6563</v>
      </c>
      <c r="B6540">
        <v>437573</v>
      </c>
      <c r="C6540" s="2" t="str">
        <f>"7443"</f>
        <v>7443</v>
      </c>
      <c r="D6540" t="s">
        <v>6611</v>
      </c>
      <c r="E6540" t="s">
        <v>4</v>
      </c>
      <c r="F6540">
        <v>36.9</v>
      </c>
      <c r="G6540">
        <v>1.23</v>
      </c>
      <c r="H6540" t="s">
        <v>6569</v>
      </c>
      <c r="I6540" s="1">
        <v>3.7</v>
      </c>
      <c r="J6540" s="1">
        <v>3.67</v>
      </c>
      <c r="K6540" t="s">
        <v>1274</v>
      </c>
      <c r="L6540" s="1">
        <v>4.03</v>
      </c>
    </row>
    <row r="6541" spans="1:12">
      <c r="A6541" t="s">
        <v>6563</v>
      </c>
      <c r="B6541">
        <v>529488</v>
      </c>
      <c r="C6541" s="2" t="str">
        <f>"750527"</f>
        <v>750527</v>
      </c>
      <c r="D6541" t="s">
        <v>6612</v>
      </c>
      <c r="E6541" t="s">
        <v>4</v>
      </c>
      <c r="F6541">
        <v>1.7</v>
      </c>
      <c r="H6541" t="s">
        <v>5</v>
      </c>
      <c r="I6541" s="1">
        <v>13.82</v>
      </c>
      <c r="J6541" s="1">
        <v>13.68</v>
      </c>
      <c r="K6541" t="s">
        <v>6</v>
      </c>
    </row>
    <row r="6542" spans="1:12">
      <c r="A6542" t="s">
        <v>6563</v>
      </c>
      <c r="B6542">
        <v>437498</v>
      </c>
      <c r="C6542" s="2" t="str">
        <f>"760527"</f>
        <v>760527</v>
      </c>
      <c r="D6542" t="s">
        <v>6613</v>
      </c>
      <c r="E6542" t="s">
        <v>4</v>
      </c>
      <c r="F6542">
        <v>41</v>
      </c>
      <c r="G6542">
        <v>1.64</v>
      </c>
      <c r="H6542" t="s">
        <v>4328</v>
      </c>
      <c r="I6542" s="1">
        <v>15.43</v>
      </c>
      <c r="J6542" s="1">
        <v>15.28</v>
      </c>
      <c r="K6542" t="s">
        <v>3830</v>
      </c>
      <c r="L6542" s="1">
        <v>16.8</v>
      </c>
    </row>
    <row r="6543" spans="1:12">
      <c r="A6543" t="s">
        <v>6563</v>
      </c>
      <c r="B6543">
        <v>437500</v>
      </c>
      <c r="C6543" s="2" t="str">
        <f>"780527"</f>
        <v>780527</v>
      </c>
      <c r="D6543" t="s">
        <v>6614</v>
      </c>
      <c r="E6543" t="s">
        <v>4</v>
      </c>
      <c r="F6543">
        <v>47</v>
      </c>
      <c r="G6543">
        <v>1.88</v>
      </c>
      <c r="H6543" t="s">
        <v>4328</v>
      </c>
      <c r="I6543" s="1">
        <v>8.84</v>
      </c>
      <c r="J6543" s="1">
        <v>8.75</v>
      </c>
      <c r="K6543" t="s">
        <v>3830</v>
      </c>
      <c r="L6543" s="1">
        <v>9.6300000000000008</v>
      </c>
    </row>
    <row r="6544" spans="1:12">
      <c r="A6544" t="s">
        <v>6563</v>
      </c>
      <c r="B6544">
        <v>437501</v>
      </c>
      <c r="C6544" s="2" t="str">
        <f>"790527"</f>
        <v>790527</v>
      </c>
      <c r="D6544" t="s">
        <v>6615</v>
      </c>
      <c r="E6544" t="s">
        <v>4</v>
      </c>
      <c r="F6544">
        <v>43</v>
      </c>
      <c r="G6544">
        <v>1.72</v>
      </c>
      <c r="H6544" t="s">
        <v>4328</v>
      </c>
      <c r="I6544" s="1">
        <v>8.81</v>
      </c>
      <c r="J6544" s="1">
        <v>8.73</v>
      </c>
      <c r="K6544" t="s">
        <v>3830</v>
      </c>
      <c r="L6544" s="1">
        <v>9.6</v>
      </c>
    </row>
    <row r="6545" spans="1:12">
      <c r="A6545" t="s">
        <v>6563</v>
      </c>
      <c r="B6545">
        <v>536045</v>
      </c>
      <c r="C6545" s="2" t="str">
        <f>"801801"</f>
        <v>801801</v>
      </c>
      <c r="D6545" t="s">
        <v>6616</v>
      </c>
      <c r="E6545" t="s">
        <v>4</v>
      </c>
      <c r="F6545">
        <v>37.56</v>
      </c>
      <c r="G6545">
        <v>3.13</v>
      </c>
      <c r="H6545" t="s">
        <v>106</v>
      </c>
      <c r="I6545" s="1">
        <v>24.58</v>
      </c>
      <c r="J6545" s="1">
        <v>24.35</v>
      </c>
      <c r="K6545" t="s">
        <v>4227</v>
      </c>
      <c r="L6545" s="1">
        <v>26.78</v>
      </c>
    </row>
    <row r="6546" spans="1:12">
      <c r="A6546" t="s">
        <v>6563</v>
      </c>
      <c r="B6546">
        <v>536047</v>
      </c>
      <c r="C6546" s="2" t="str">
        <f>"801805"</f>
        <v>801805</v>
      </c>
      <c r="D6546" t="s">
        <v>6617</v>
      </c>
      <c r="E6546" t="s">
        <v>4</v>
      </c>
      <c r="F6546">
        <v>51</v>
      </c>
      <c r="G6546">
        <v>4.25</v>
      </c>
      <c r="H6546" t="s">
        <v>106</v>
      </c>
      <c r="I6546" s="1">
        <v>35.03</v>
      </c>
      <c r="J6546" s="1">
        <v>34.69</v>
      </c>
      <c r="K6546" t="s">
        <v>4227</v>
      </c>
      <c r="L6546" s="1">
        <v>38.159999999999997</v>
      </c>
    </row>
    <row r="6547" spans="1:12">
      <c r="A6547" t="s">
        <v>6563</v>
      </c>
      <c r="B6547">
        <v>536056</v>
      </c>
      <c r="C6547" s="2" t="str">
        <f>"801845"</f>
        <v>801845</v>
      </c>
      <c r="D6547" t="s">
        <v>6618</v>
      </c>
      <c r="E6547" t="s">
        <v>4</v>
      </c>
      <c r="F6547">
        <v>60.78</v>
      </c>
      <c r="G6547">
        <v>10.130000000000001</v>
      </c>
      <c r="H6547" t="s">
        <v>20</v>
      </c>
      <c r="I6547" s="1">
        <v>66.319999999999993</v>
      </c>
      <c r="J6547" s="1">
        <v>65.680000000000007</v>
      </c>
      <c r="K6547" t="s">
        <v>4227</v>
      </c>
      <c r="L6547" s="1">
        <v>72.239999999999995</v>
      </c>
    </row>
    <row r="6548" spans="1:12">
      <c r="A6548" t="s">
        <v>6563</v>
      </c>
      <c r="B6548">
        <v>536057</v>
      </c>
      <c r="C6548" s="2" t="str">
        <f>"802101"</f>
        <v>802101</v>
      </c>
      <c r="D6548" t="s">
        <v>6619</v>
      </c>
      <c r="E6548" t="s">
        <v>4</v>
      </c>
      <c r="F6548">
        <v>60</v>
      </c>
      <c r="G6548">
        <v>3</v>
      </c>
      <c r="H6548" t="s">
        <v>6193</v>
      </c>
      <c r="I6548" s="1">
        <v>48.98</v>
      </c>
      <c r="J6548" s="1">
        <v>48.5</v>
      </c>
      <c r="K6548" t="s">
        <v>4227</v>
      </c>
      <c r="L6548" s="1">
        <v>53.35</v>
      </c>
    </row>
    <row r="6549" spans="1:12">
      <c r="A6549" t="s">
        <v>6563</v>
      </c>
      <c r="B6549">
        <v>536065</v>
      </c>
      <c r="C6549" s="2" t="str">
        <f>"802105"</f>
        <v>802105</v>
      </c>
      <c r="D6549" t="s">
        <v>6620</v>
      </c>
      <c r="E6549" t="s">
        <v>4</v>
      </c>
      <c r="F6549">
        <v>30</v>
      </c>
      <c r="G6549">
        <v>2.5</v>
      </c>
      <c r="H6549" t="s">
        <v>106</v>
      </c>
      <c r="I6549" s="1">
        <v>46.77</v>
      </c>
      <c r="J6549" s="1">
        <v>46.32</v>
      </c>
      <c r="K6549" t="s">
        <v>3830</v>
      </c>
      <c r="L6549" s="1">
        <v>50.95</v>
      </c>
    </row>
    <row r="6550" spans="1:12">
      <c r="A6550" t="s">
        <v>6563</v>
      </c>
      <c r="B6550">
        <v>437502</v>
      </c>
      <c r="C6550" s="2" t="str">
        <f>"840529R"</f>
        <v>840529R</v>
      </c>
      <c r="D6550" t="s">
        <v>6621</v>
      </c>
      <c r="E6550" t="s">
        <v>4</v>
      </c>
      <c r="F6550">
        <v>66</v>
      </c>
      <c r="G6550">
        <v>2.64</v>
      </c>
      <c r="H6550" t="s">
        <v>4328</v>
      </c>
      <c r="I6550" s="1">
        <v>57.2</v>
      </c>
      <c r="J6550" s="1">
        <v>56.65</v>
      </c>
      <c r="K6550" t="s">
        <v>1274</v>
      </c>
      <c r="L6550" s="1">
        <v>62.31</v>
      </c>
    </row>
    <row r="6551" spans="1:12">
      <c r="A6551" t="s">
        <v>6563</v>
      </c>
      <c r="B6551">
        <v>437695</v>
      </c>
      <c r="C6551" s="2" t="str">
        <f>"9145"</f>
        <v>9145</v>
      </c>
      <c r="D6551" t="s">
        <v>6622</v>
      </c>
      <c r="E6551" t="s">
        <v>4</v>
      </c>
      <c r="F6551">
        <v>1.77</v>
      </c>
      <c r="H6551" t="s">
        <v>5</v>
      </c>
      <c r="I6551" s="1">
        <v>22.96</v>
      </c>
      <c r="J6551" s="1">
        <v>22.74</v>
      </c>
      <c r="K6551" t="s">
        <v>6</v>
      </c>
    </row>
    <row r="6552" spans="1:12">
      <c r="A6552" t="s">
        <v>6563</v>
      </c>
      <c r="B6552">
        <v>437756</v>
      </c>
      <c r="C6552" s="2" t="str">
        <f>"O-U16"</f>
        <v>O-U16</v>
      </c>
      <c r="D6552" t="s">
        <v>6623</v>
      </c>
      <c r="E6552" t="s">
        <v>4</v>
      </c>
      <c r="F6552">
        <v>3.9</v>
      </c>
      <c r="G6552">
        <v>1.3</v>
      </c>
      <c r="H6552" t="s">
        <v>189</v>
      </c>
      <c r="I6552" s="1">
        <v>28.46</v>
      </c>
      <c r="J6552" s="1">
        <v>27.91</v>
      </c>
      <c r="K6552" t="s">
        <v>21</v>
      </c>
      <c r="L6552" s="1">
        <v>30.7</v>
      </c>
    </row>
    <row r="6553" spans="1:12">
      <c r="A6553" t="s">
        <v>6563</v>
      </c>
      <c r="B6553">
        <v>437757</v>
      </c>
      <c r="C6553" s="2" t="str">
        <f>"O-U18"</f>
        <v>O-U18</v>
      </c>
      <c r="D6553" t="s">
        <v>6624</v>
      </c>
      <c r="E6553" t="s">
        <v>4</v>
      </c>
      <c r="F6553">
        <v>3.69</v>
      </c>
      <c r="G6553">
        <v>1.23</v>
      </c>
      <c r="H6553" t="s">
        <v>189</v>
      </c>
      <c r="I6553" s="1">
        <v>38.92</v>
      </c>
      <c r="J6553" s="1">
        <v>38.159999999999997</v>
      </c>
      <c r="K6553" t="s">
        <v>21</v>
      </c>
      <c r="L6553" s="1">
        <v>41.97</v>
      </c>
    </row>
    <row r="6554" spans="1:12">
      <c r="A6554" t="s">
        <v>6563</v>
      </c>
      <c r="B6554">
        <v>437454</v>
      </c>
      <c r="C6554" s="2" t="str">
        <f>"PAC01"</f>
        <v>PAC01</v>
      </c>
      <c r="D6554" t="s">
        <v>6625</v>
      </c>
      <c r="E6554" t="s">
        <v>4</v>
      </c>
      <c r="F6554">
        <v>62</v>
      </c>
      <c r="G6554">
        <v>3.1</v>
      </c>
      <c r="H6554" t="s">
        <v>6193</v>
      </c>
      <c r="I6554" s="1">
        <v>32.94</v>
      </c>
      <c r="J6554" s="1">
        <v>32.619999999999997</v>
      </c>
      <c r="K6554" t="s">
        <v>4227</v>
      </c>
      <c r="L6554" s="1">
        <v>35.880000000000003</v>
      </c>
    </row>
    <row r="6555" spans="1:12">
      <c r="A6555" t="s">
        <v>6563</v>
      </c>
      <c r="B6555">
        <v>439790</v>
      </c>
      <c r="C6555" s="2" t="str">
        <f>"PAC-05"</f>
        <v>PAC-05</v>
      </c>
      <c r="D6555" t="s">
        <v>6626</v>
      </c>
      <c r="E6555" t="s">
        <v>4</v>
      </c>
      <c r="F6555">
        <v>35.04</v>
      </c>
      <c r="G6555">
        <v>2.92</v>
      </c>
      <c r="H6555" t="s">
        <v>106</v>
      </c>
      <c r="I6555" s="1">
        <v>32.89</v>
      </c>
      <c r="J6555" s="1">
        <v>32.57</v>
      </c>
      <c r="K6555" t="s">
        <v>3830</v>
      </c>
      <c r="L6555" s="1">
        <v>35.82</v>
      </c>
    </row>
    <row r="6556" spans="1:12">
      <c r="A6556" t="s">
        <v>6563</v>
      </c>
      <c r="B6556">
        <v>437675</v>
      </c>
      <c r="C6556" s="2" t="str">
        <f>"PAC051"</f>
        <v>PAC051</v>
      </c>
      <c r="D6556" t="s">
        <v>6627</v>
      </c>
      <c r="E6556" t="s">
        <v>4</v>
      </c>
      <c r="F6556">
        <v>38.04</v>
      </c>
      <c r="G6556">
        <v>3.17</v>
      </c>
      <c r="H6556" t="s">
        <v>106</v>
      </c>
      <c r="I6556" s="1">
        <v>38.86</v>
      </c>
      <c r="J6556" s="1">
        <v>38.479999999999997</v>
      </c>
      <c r="K6556" t="s">
        <v>3830</v>
      </c>
      <c r="L6556" s="1">
        <v>42.33</v>
      </c>
    </row>
    <row r="6557" spans="1:12">
      <c r="A6557" t="s">
        <v>6563</v>
      </c>
      <c r="B6557">
        <v>437455</v>
      </c>
      <c r="C6557" s="2" t="str">
        <f>"PAC06"</f>
        <v>PAC06</v>
      </c>
      <c r="D6557" t="s">
        <v>6628</v>
      </c>
      <c r="E6557" t="s">
        <v>4</v>
      </c>
      <c r="F6557">
        <v>49</v>
      </c>
      <c r="G6557">
        <v>1.96</v>
      </c>
      <c r="H6557" t="s">
        <v>4328</v>
      </c>
      <c r="I6557" s="1">
        <v>23.81</v>
      </c>
      <c r="J6557" s="1">
        <v>23.58</v>
      </c>
      <c r="K6557" t="s">
        <v>3830</v>
      </c>
      <c r="L6557" s="1">
        <v>25.93</v>
      </c>
    </row>
    <row r="6558" spans="1:12">
      <c r="A6558" t="s">
        <v>6563</v>
      </c>
      <c r="B6558">
        <v>437456</v>
      </c>
      <c r="C6558" s="2" t="str">
        <f>"PAC07"</f>
        <v>PAC07</v>
      </c>
      <c r="D6558" t="s">
        <v>6629</v>
      </c>
      <c r="E6558" t="s">
        <v>4</v>
      </c>
      <c r="F6558">
        <v>42</v>
      </c>
      <c r="G6558">
        <v>3.5</v>
      </c>
      <c r="H6558" t="s">
        <v>106</v>
      </c>
      <c r="I6558" s="1">
        <v>32.89</v>
      </c>
      <c r="J6558" s="1">
        <v>32.57</v>
      </c>
      <c r="K6558" t="s">
        <v>3830</v>
      </c>
      <c r="L6558" s="1">
        <v>35.82</v>
      </c>
    </row>
    <row r="6559" spans="1:12">
      <c r="A6559" t="s">
        <v>6563</v>
      </c>
      <c r="B6559">
        <v>437457</v>
      </c>
      <c r="C6559" s="2" t="str">
        <f>"PAC11"</f>
        <v>PAC11</v>
      </c>
      <c r="D6559" t="s">
        <v>6630</v>
      </c>
      <c r="E6559" t="s">
        <v>4</v>
      </c>
      <c r="F6559">
        <v>38.5</v>
      </c>
      <c r="G6559">
        <v>1.54</v>
      </c>
      <c r="H6559" t="s">
        <v>4328</v>
      </c>
      <c r="I6559" s="1">
        <v>16.64</v>
      </c>
      <c r="J6559" s="1">
        <v>16.48</v>
      </c>
      <c r="K6559" t="s">
        <v>1274</v>
      </c>
      <c r="L6559" s="1">
        <v>18.13</v>
      </c>
    </row>
    <row r="6560" spans="1:12">
      <c r="A6560" t="s">
        <v>6563</v>
      </c>
      <c r="B6560">
        <v>437458</v>
      </c>
      <c r="C6560" s="2" t="str">
        <f>"PAC12"</f>
        <v>PAC12</v>
      </c>
      <c r="D6560" t="s">
        <v>6631</v>
      </c>
      <c r="E6560" t="s">
        <v>4</v>
      </c>
      <c r="F6560">
        <v>55</v>
      </c>
      <c r="G6560">
        <v>2.2000000000000002</v>
      </c>
      <c r="H6560" t="s">
        <v>4328</v>
      </c>
      <c r="I6560" s="1">
        <v>30.9</v>
      </c>
      <c r="J6560" s="1">
        <v>30.6</v>
      </c>
      <c r="K6560" t="s">
        <v>3830</v>
      </c>
      <c r="L6560" s="1">
        <v>33.659999999999997</v>
      </c>
    </row>
    <row r="6561" spans="1:12">
      <c r="A6561" t="s">
        <v>6563</v>
      </c>
      <c r="B6561">
        <v>437460</v>
      </c>
      <c r="C6561" s="2" t="str">
        <f>"PAC45"</f>
        <v>PAC45</v>
      </c>
      <c r="D6561" t="s">
        <v>6632</v>
      </c>
      <c r="E6561" t="s">
        <v>4</v>
      </c>
      <c r="F6561">
        <v>65</v>
      </c>
      <c r="G6561">
        <v>2.6</v>
      </c>
      <c r="H6561" t="s">
        <v>4328</v>
      </c>
      <c r="I6561" s="1">
        <v>24.38</v>
      </c>
      <c r="J6561" s="1">
        <v>24.15</v>
      </c>
      <c r="K6561" t="s">
        <v>1274</v>
      </c>
      <c r="L6561" s="1">
        <v>26.56</v>
      </c>
    </row>
    <row r="6562" spans="1:12">
      <c r="A6562" t="s">
        <v>6563</v>
      </c>
      <c r="B6562">
        <v>437461</v>
      </c>
      <c r="C6562" s="2" t="str">
        <f>"PAC451"</f>
        <v>PAC451</v>
      </c>
      <c r="D6562" t="s">
        <v>6633</v>
      </c>
      <c r="E6562" t="s">
        <v>4</v>
      </c>
      <c r="F6562">
        <v>66</v>
      </c>
      <c r="G6562">
        <v>2.64</v>
      </c>
      <c r="H6562" t="s">
        <v>4328</v>
      </c>
      <c r="I6562" s="1">
        <v>25.44</v>
      </c>
      <c r="J6562" s="1">
        <v>25.19</v>
      </c>
      <c r="K6562" t="s">
        <v>1274</v>
      </c>
      <c r="L6562" s="1">
        <v>27.71</v>
      </c>
    </row>
    <row r="6563" spans="1:12">
      <c r="A6563" t="s">
        <v>6563</v>
      </c>
      <c r="B6563">
        <v>437732</v>
      </c>
      <c r="C6563" s="2" t="str">
        <f>"UL-011"</f>
        <v>UL-011</v>
      </c>
      <c r="D6563" t="s">
        <v>6634</v>
      </c>
      <c r="E6563" t="s">
        <v>4</v>
      </c>
      <c r="F6563">
        <v>5.76</v>
      </c>
      <c r="G6563">
        <v>0.48</v>
      </c>
      <c r="H6563" t="s">
        <v>106</v>
      </c>
      <c r="I6563" s="1">
        <v>10.43</v>
      </c>
      <c r="J6563" s="1">
        <v>10.33</v>
      </c>
      <c r="K6563" t="s">
        <v>21</v>
      </c>
      <c r="L6563" s="1">
        <v>11.36</v>
      </c>
    </row>
    <row r="6564" spans="1:12">
      <c r="A6564" t="s">
        <v>6563</v>
      </c>
      <c r="B6564">
        <v>437733</v>
      </c>
      <c r="C6564" s="2" t="str">
        <f>"UL-012"</f>
        <v>UL-012</v>
      </c>
      <c r="D6564" t="s">
        <v>6635</v>
      </c>
      <c r="E6564" t="s">
        <v>4</v>
      </c>
      <c r="F6564">
        <v>4.8</v>
      </c>
      <c r="G6564">
        <v>0.4</v>
      </c>
      <c r="H6564" t="s">
        <v>106</v>
      </c>
      <c r="I6564" s="1">
        <v>5.51</v>
      </c>
      <c r="J6564" s="1">
        <v>5.46</v>
      </c>
      <c r="K6564" t="s">
        <v>21</v>
      </c>
      <c r="L6564" s="1">
        <v>6</v>
      </c>
    </row>
    <row r="6565" spans="1:12">
      <c r="A6565" t="s">
        <v>6563</v>
      </c>
      <c r="B6565">
        <v>437734</v>
      </c>
      <c r="C6565" s="2" t="str">
        <f>"UL-014"</f>
        <v>UL-014</v>
      </c>
      <c r="D6565" t="s">
        <v>6636</v>
      </c>
      <c r="E6565" t="s">
        <v>4</v>
      </c>
      <c r="F6565">
        <v>8.0399999999999991</v>
      </c>
      <c r="G6565">
        <v>0.67</v>
      </c>
      <c r="H6565" t="s">
        <v>106</v>
      </c>
      <c r="I6565" s="1">
        <v>5.35</v>
      </c>
      <c r="J6565" s="1">
        <v>5.3</v>
      </c>
      <c r="K6565" t="s">
        <v>21</v>
      </c>
      <c r="L6565" s="1">
        <v>5.83</v>
      </c>
    </row>
    <row r="6566" spans="1:12">
      <c r="A6566" t="s">
        <v>6563</v>
      </c>
      <c r="B6566">
        <v>437735</v>
      </c>
      <c r="C6566" s="2" t="str">
        <f>"UL-015"</f>
        <v>UL-015</v>
      </c>
      <c r="D6566" t="s">
        <v>6637</v>
      </c>
      <c r="E6566" t="s">
        <v>4</v>
      </c>
      <c r="F6566">
        <v>2.76</v>
      </c>
      <c r="G6566">
        <v>0.23</v>
      </c>
      <c r="H6566" t="s">
        <v>106</v>
      </c>
      <c r="I6566" s="1">
        <v>5.4</v>
      </c>
      <c r="J6566" s="1">
        <v>5.34</v>
      </c>
      <c r="K6566" t="s">
        <v>21</v>
      </c>
      <c r="L6566" s="1">
        <v>5.88</v>
      </c>
    </row>
    <row r="6567" spans="1:12">
      <c r="A6567" t="s">
        <v>6563</v>
      </c>
      <c r="B6567">
        <v>437739</v>
      </c>
      <c r="C6567" s="2" t="str">
        <f>"UL-022"</f>
        <v>UL-022</v>
      </c>
      <c r="D6567" t="s">
        <v>6638</v>
      </c>
      <c r="E6567" t="s">
        <v>4</v>
      </c>
      <c r="F6567">
        <v>2.76</v>
      </c>
      <c r="G6567">
        <v>0.23</v>
      </c>
      <c r="H6567" t="s">
        <v>106</v>
      </c>
      <c r="I6567" s="1">
        <v>6.99</v>
      </c>
      <c r="J6567" s="1">
        <v>6.93</v>
      </c>
      <c r="K6567" t="s">
        <v>21</v>
      </c>
      <c r="L6567" s="1">
        <v>7.62</v>
      </c>
    </row>
    <row r="6568" spans="1:12">
      <c r="A6568" t="s">
        <v>6563</v>
      </c>
      <c r="B6568">
        <v>437740</v>
      </c>
      <c r="C6568" s="2" t="str">
        <f>"UL-027"</f>
        <v>UL-027</v>
      </c>
      <c r="D6568" t="s">
        <v>6639</v>
      </c>
      <c r="E6568" t="s">
        <v>4</v>
      </c>
      <c r="F6568">
        <v>3.72</v>
      </c>
      <c r="G6568">
        <v>0.31</v>
      </c>
      <c r="H6568" t="s">
        <v>106</v>
      </c>
      <c r="I6568" s="1">
        <v>7.34</v>
      </c>
      <c r="J6568" s="1">
        <v>7.27</v>
      </c>
      <c r="K6568" t="s">
        <v>21</v>
      </c>
      <c r="L6568" s="1">
        <v>8</v>
      </c>
    </row>
    <row r="6569" spans="1:12">
      <c r="A6569" t="s">
        <v>6563</v>
      </c>
      <c r="B6569">
        <v>437742</v>
      </c>
      <c r="C6569" s="2" t="str">
        <f>"UL-029"</f>
        <v>UL-029</v>
      </c>
      <c r="D6569" t="s">
        <v>6640</v>
      </c>
      <c r="E6569" t="s">
        <v>4</v>
      </c>
      <c r="F6569">
        <v>4.8</v>
      </c>
      <c r="G6569">
        <v>0.4</v>
      </c>
      <c r="H6569" t="s">
        <v>106</v>
      </c>
      <c r="I6569" s="1">
        <v>15.22</v>
      </c>
      <c r="J6569" s="1">
        <v>15.07</v>
      </c>
      <c r="K6569" t="s">
        <v>21</v>
      </c>
      <c r="L6569" s="1">
        <v>16.579999999999998</v>
      </c>
    </row>
    <row r="6570" spans="1:12">
      <c r="A6570" t="s">
        <v>6563</v>
      </c>
      <c r="B6570">
        <v>437736</v>
      </c>
      <c r="C6570" s="2" t="str">
        <f>"UL-125"</f>
        <v>UL-125</v>
      </c>
      <c r="D6570" t="s">
        <v>6641</v>
      </c>
      <c r="E6570" t="s">
        <v>4</v>
      </c>
      <c r="F6570">
        <v>4.5599999999999996</v>
      </c>
      <c r="G6570">
        <v>0.38</v>
      </c>
      <c r="H6570" t="s">
        <v>106</v>
      </c>
      <c r="I6570" s="1">
        <v>8.1</v>
      </c>
      <c r="J6570" s="1">
        <v>8.02</v>
      </c>
      <c r="K6570" t="s">
        <v>21</v>
      </c>
      <c r="L6570" s="1">
        <v>8.83</v>
      </c>
    </row>
    <row r="6571" spans="1:12">
      <c r="A6571" t="s">
        <v>6563</v>
      </c>
      <c r="B6571">
        <v>437737</v>
      </c>
      <c r="C6571" s="2" t="str">
        <f>"UL-126"</f>
        <v>UL-126</v>
      </c>
      <c r="D6571" t="s">
        <v>6642</v>
      </c>
      <c r="E6571" t="s">
        <v>4</v>
      </c>
      <c r="F6571">
        <v>4.5599999999999996</v>
      </c>
      <c r="G6571">
        <v>0.38</v>
      </c>
      <c r="H6571" t="s">
        <v>106</v>
      </c>
      <c r="I6571" s="1">
        <v>8.1</v>
      </c>
      <c r="J6571" s="1">
        <v>8.02</v>
      </c>
      <c r="K6571" t="s">
        <v>21</v>
      </c>
      <c r="L6571" s="1">
        <v>8.83</v>
      </c>
    </row>
    <row r="6572" spans="1:12">
      <c r="A6572" t="s">
        <v>6563</v>
      </c>
      <c r="B6572">
        <v>437743</v>
      </c>
      <c r="C6572" s="2" t="str">
        <f>"UL-7223"</f>
        <v>UL-7223</v>
      </c>
      <c r="D6572" t="s">
        <v>6643</v>
      </c>
      <c r="E6572" t="s">
        <v>4</v>
      </c>
      <c r="F6572">
        <v>1.8</v>
      </c>
      <c r="G6572">
        <v>0.15</v>
      </c>
      <c r="H6572" t="s">
        <v>106</v>
      </c>
      <c r="I6572" s="1">
        <v>5.71</v>
      </c>
      <c r="J6572" s="1">
        <v>5.65</v>
      </c>
      <c r="K6572" t="s">
        <v>21</v>
      </c>
      <c r="L6572" s="1">
        <v>6.22</v>
      </c>
    </row>
    <row r="6573" spans="1:12">
      <c r="A6573" t="s">
        <v>6563</v>
      </c>
      <c r="B6573">
        <v>437744</v>
      </c>
      <c r="C6573" s="2" t="str">
        <f>"UL-7225"</f>
        <v>UL-7225</v>
      </c>
      <c r="D6573" t="s">
        <v>6644</v>
      </c>
      <c r="E6573" t="s">
        <v>4</v>
      </c>
      <c r="F6573">
        <v>2.2799999999999998</v>
      </c>
      <c r="G6573">
        <v>0.19</v>
      </c>
      <c r="H6573" t="s">
        <v>106</v>
      </c>
      <c r="I6573" s="1">
        <v>5.85</v>
      </c>
      <c r="J6573" s="1">
        <v>5.79</v>
      </c>
      <c r="K6573" t="s">
        <v>21</v>
      </c>
      <c r="L6573" s="1">
        <v>6.37</v>
      </c>
    </row>
    <row r="6574" spans="1:12">
      <c r="A6574" t="s">
        <v>6563</v>
      </c>
      <c r="B6574">
        <v>437745</v>
      </c>
      <c r="C6574" s="2" t="str">
        <f>"UL-7253"</f>
        <v>UL-7253</v>
      </c>
      <c r="D6574" t="s">
        <v>6645</v>
      </c>
      <c r="E6574" t="s">
        <v>4</v>
      </c>
      <c r="F6574">
        <v>3.72</v>
      </c>
      <c r="G6574">
        <v>0.31</v>
      </c>
      <c r="H6574" t="s">
        <v>106</v>
      </c>
      <c r="I6574" s="1">
        <v>8.5500000000000007</v>
      </c>
      <c r="J6574" s="1">
        <v>8.4700000000000006</v>
      </c>
      <c r="K6574" t="s">
        <v>21</v>
      </c>
      <c r="L6574" s="1">
        <v>9.32</v>
      </c>
    </row>
    <row r="6575" spans="1:12">
      <c r="A6575" t="s">
        <v>6563</v>
      </c>
      <c r="B6575">
        <v>437505</v>
      </c>
      <c r="C6575" s="2" t="str">
        <f>"WLB01"</f>
        <v>WLB01</v>
      </c>
      <c r="D6575" t="s">
        <v>6646</v>
      </c>
      <c r="E6575" t="s">
        <v>4</v>
      </c>
      <c r="F6575">
        <v>21</v>
      </c>
      <c r="G6575">
        <v>1.75</v>
      </c>
      <c r="H6575" t="s">
        <v>106</v>
      </c>
      <c r="I6575" s="1">
        <v>5.47</v>
      </c>
      <c r="J6575" s="1">
        <v>5.37</v>
      </c>
      <c r="K6575" t="s">
        <v>21</v>
      </c>
      <c r="L6575" s="1">
        <v>5.9</v>
      </c>
    </row>
    <row r="6576" spans="1:12">
      <c r="A6576" t="s">
        <v>6563</v>
      </c>
      <c r="B6576">
        <v>437506</v>
      </c>
      <c r="C6576" s="2" t="str">
        <f>"WLB02"</f>
        <v>WLB02</v>
      </c>
      <c r="D6576" t="s">
        <v>6647</v>
      </c>
      <c r="E6576" t="s">
        <v>4</v>
      </c>
      <c r="F6576">
        <v>20.04</v>
      </c>
      <c r="G6576">
        <v>1.67</v>
      </c>
      <c r="H6576" t="s">
        <v>106</v>
      </c>
      <c r="I6576" s="1">
        <v>5.66</v>
      </c>
      <c r="J6576" s="1">
        <v>5.55</v>
      </c>
      <c r="K6576" t="s">
        <v>21</v>
      </c>
      <c r="L6576" s="1">
        <v>6.1</v>
      </c>
    </row>
    <row r="6577" spans="1:12">
      <c r="A6577" t="s">
        <v>6563</v>
      </c>
      <c r="B6577">
        <v>437507</v>
      </c>
      <c r="C6577" s="2" t="str">
        <f>"WLB04"</f>
        <v>WLB04</v>
      </c>
      <c r="D6577" t="s">
        <v>6648</v>
      </c>
      <c r="E6577" t="s">
        <v>4</v>
      </c>
      <c r="F6577">
        <v>0.24</v>
      </c>
      <c r="G6577">
        <v>0.04</v>
      </c>
      <c r="H6577" t="s">
        <v>20</v>
      </c>
      <c r="I6577" s="1">
        <v>5.36</v>
      </c>
      <c r="J6577" s="1">
        <v>5.26</v>
      </c>
      <c r="K6577" t="s">
        <v>21</v>
      </c>
      <c r="L6577" s="1">
        <v>5.78</v>
      </c>
    </row>
    <row r="6578" spans="1:12">
      <c r="A6578" t="s">
        <v>6563</v>
      </c>
      <c r="B6578">
        <v>437729</v>
      </c>
      <c r="C6578" s="2" t="str">
        <f>"WLB06"</f>
        <v>WLB06</v>
      </c>
      <c r="D6578" t="s">
        <v>6649</v>
      </c>
      <c r="E6578" t="s">
        <v>4</v>
      </c>
      <c r="F6578">
        <v>26.04</v>
      </c>
      <c r="G6578">
        <v>2.17</v>
      </c>
      <c r="H6578" t="s">
        <v>106</v>
      </c>
      <c r="I6578" s="1">
        <v>6.83</v>
      </c>
      <c r="J6578" s="1">
        <v>6.7</v>
      </c>
      <c r="K6578" t="s">
        <v>21</v>
      </c>
      <c r="L6578" s="1">
        <v>7.37</v>
      </c>
    </row>
    <row r="6579" spans="1:12">
      <c r="A6579" t="s">
        <v>6650</v>
      </c>
      <c r="B6579">
        <v>379413</v>
      </c>
      <c r="C6579" s="2" t="str">
        <f>"6001C"</f>
        <v>6001C</v>
      </c>
      <c r="D6579" t="s">
        <v>6651</v>
      </c>
      <c r="E6579" t="s">
        <v>4</v>
      </c>
      <c r="F6579">
        <v>13.9</v>
      </c>
      <c r="H6579" t="s">
        <v>5</v>
      </c>
      <c r="I6579" s="1">
        <v>338.95</v>
      </c>
      <c r="J6579" s="1">
        <v>338.95</v>
      </c>
      <c r="K6579" t="s">
        <v>6</v>
      </c>
    </row>
    <row r="6580" spans="1:12">
      <c r="A6580" t="s">
        <v>6650</v>
      </c>
      <c r="B6580">
        <v>379317</v>
      </c>
      <c r="C6580" s="2" t="str">
        <f>"BB150"</f>
        <v>BB150</v>
      </c>
      <c r="D6580" t="s">
        <v>6652</v>
      </c>
      <c r="E6580" t="s">
        <v>4</v>
      </c>
      <c r="F6580">
        <v>6.95</v>
      </c>
      <c r="H6580" t="s">
        <v>5</v>
      </c>
      <c r="I6580" s="1">
        <v>79.73</v>
      </c>
      <c r="J6580" s="1">
        <v>79.73</v>
      </c>
      <c r="K6580" t="s">
        <v>6</v>
      </c>
    </row>
    <row r="6581" spans="1:12">
      <c r="A6581" t="s">
        <v>6650</v>
      </c>
      <c r="B6581">
        <v>379320</v>
      </c>
      <c r="C6581" s="2" t="str">
        <f>"BB150S"</f>
        <v>BB150S</v>
      </c>
      <c r="D6581" t="s">
        <v>6653</v>
      </c>
      <c r="E6581" t="s">
        <v>4</v>
      </c>
      <c r="F6581">
        <v>7.1</v>
      </c>
      <c r="H6581" t="s">
        <v>5</v>
      </c>
      <c r="I6581" s="1">
        <v>109.41</v>
      </c>
      <c r="J6581" s="1">
        <v>109.41</v>
      </c>
      <c r="K6581" t="s">
        <v>6</v>
      </c>
    </row>
    <row r="6582" spans="1:12">
      <c r="A6582" t="s">
        <v>6650</v>
      </c>
      <c r="B6582">
        <v>416580</v>
      </c>
      <c r="C6582" s="2" t="str">
        <f>"BB180"</f>
        <v>BB180</v>
      </c>
      <c r="D6582" t="s">
        <v>6654</v>
      </c>
      <c r="E6582" t="s">
        <v>4</v>
      </c>
      <c r="F6582">
        <v>8</v>
      </c>
      <c r="H6582" t="s">
        <v>5</v>
      </c>
      <c r="I6582" s="1">
        <v>109.37</v>
      </c>
      <c r="J6582" s="1">
        <v>109.37</v>
      </c>
      <c r="K6582" t="s">
        <v>6</v>
      </c>
    </row>
    <row r="6583" spans="1:12">
      <c r="A6583" t="s">
        <v>6650</v>
      </c>
      <c r="B6583">
        <v>484327</v>
      </c>
      <c r="C6583" s="2" t="str">
        <f>"BB180S"</f>
        <v>BB180S</v>
      </c>
      <c r="D6583" t="s">
        <v>6655</v>
      </c>
      <c r="E6583" t="s">
        <v>4</v>
      </c>
      <c r="F6583">
        <v>8</v>
      </c>
      <c r="H6583" t="s">
        <v>5</v>
      </c>
      <c r="I6583" s="1">
        <v>133.19999999999999</v>
      </c>
      <c r="J6583" s="1">
        <v>133.19999999999999</v>
      </c>
      <c r="K6583" t="s">
        <v>6</v>
      </c>
    </row>
    <row r="6584" spans="1:12">
      <c r="A6584" t="s">
        <v>6650</v>
      </c>
      <c r="B6584">
        <v>383503</v>
      </c>
      <c r="C6584" s="2" t="str">
        <f>"CAC21"</f>
        <v>CAC21</v>
      </c>
      <c r="D6584" t="s">
        <v>6656</v>
      </c>
      <c r="E6584" t="s">
        <v>4</v>
      </c>
      <c r="F6584">
        <v>2.4</v>
      </c>
      <c r="H6584" t="s">
        <v>5</v>
      </c>
      <c r="I6584" s="1">
        <v>68.47</v>
      </c>
      <c r="J6584" s="1">
        <v>66.67</v>
      </c>
      <c r="K6584" t="s">
        <v>6</v>
      </c>
    </row>
    <row r="6585" spans="1:12">
      <c r="A6585" t="s">
        <v>6650</v>
      </c>
      <c r="B6585">
        <v>414981</v>
      </c>
      <c r="C6585" s="2" t="str">
        <f>"CB15"</f>
        <v>CB15</v>
      </c>
      <c r="D6585" t="s">
        <v>6657</v>
      </c>
      <c r="E6585" t="s">
        <v>4</v>
      </c>
      <c r="F6585">
        <v>43</v>
      </c>
      <c r="H6585" t="s">
        <v>5</v>
      </c>
      <c r="I6585" s="1">
        <v>1196.47</v>
      </c>
      <c r="J6585" s="1">
        <v>1196.47</v>
      </c>
      <c r="K6585" t="s">
        <v>6</v>
      </c>
    </row>
    <row r="6586" spans="1:12">
      <c r="A6586" t="s">
        <v>6650</v>
      </c>
      <c r="B6586">
        <v>487374</v>
      </c>
      <c r="C6586" s="2" t="str">
        <f>"CTS1000"</f>
        <v>CTS1000</v>
      </c>
      <c r="D6586" t="s">
        <v>6658</v>
      </c>
      <c r="E6586" t="s">
        <v>4</v>
      </c>
      <c r="F6586">
        <v>46</v>
      </c>
      <c r="H6586" t="s">
        <v>5</v>
      </c>
      <c r="I6586" s="1">
        <v>602.46</v>
      </c>
      <c r="J6586" s="1">
        <v>602.46</v>
      </c>
      <c r="K6586" t="s">
        <v>6</v>
      </c>
    </row>
    <row r="6587" spans="1:12">
      <c r="A6587" t="s">
        <v>6650</v>
      </c>
      <c r="B6587">
        <v>379343</v>
      </c>
      <c r="C6587" s="2" t="str">
        <f>"DMC20"</f>
        <v>DMC20</v>
      </c>
      <c r="D6587" t="s">
        <v>6659</v>
      </c>
      <c r="E6587" t="s">
        <v>4</v>
      </c>
      <c r="F6587">
        <v>12</v>
      </c>
      <c r="H6587" t="s">
        <v>5</v>
      </c>
      <c r="I6587" s="1">
        <v>278.43</v>
      </c>
      <c r="J6587" s="1">
        <v>278.43</v>
      </c>
      <c r="K6587" t="s">
        <v>6</v>
      </c>
    </row>
    <row r="6588" spans="1:12">
      <c r="A6588" t="s">
        <v>6650</v>
      </c>
      <c r="B6588">
        <v>434438</v>
      </c>
      <c r="C6588" s="2" t="str">
        <f>"FP25C"</f>
        <v>FP25C</v>
      </c>
      <c r="D6588" t="s">
        <v>6660</v>
      </c>
      <c r="E6588" t="s">
        <v>4</v>
      </c>
      <c r="F6588">
        <v>30.6</v>
      </c>
      <c r="H6588" t="s">
        <v>5</v>
      </c>
      <c r="I6588" s="1">
        <v>919.05</v>
      </c>
      <c r="J6588" s="1">
        <v>919.05</v>
      </c>
      <c r="K6588" t="s">
        <v>6</v>
      </c>
    </row>
    <row r="6589" spans="1:12">
      <c r="A6589" t="s">
        <v>6650</v>
      </c>
      <c r="B6589">
        <v>379355</v>
      </c>
      <c r="C6589" s="2" t="str">
        <f>"HGB150"</f>
        <v>HGB150</v>
      </c>
      <c r="D6589" t="s">
        <v>6661</v>
      </c>
      <c r="E6589" t="s">
        <v>4</v>
      </c>
      <c r="F6589">
        <v>11.9</v>
      </c>
      <c r="H6589" t="s">
        <v>5</v>
      </c>
      <c r="I6589" s="1">
        <v>340.77</v>
      </c>
      <c r="J6589" s="1">
        <v>340.77</v>
      </c>
      <c r="K6589" t="s">
        <v>6</v>
      </c>
    </row>
    <row r="6590" spans="1:12">
      <c r="A6590" t="s">
        <v>6650</v>
      </c>
      <c r="B6590">
        <v>537851</v>
      </c>
      <c r="C6590" s="2" t="str">
        <f>"MX1000XTX"</f>
        <v>MX1000XTX</v>
      </c>
      <c r="D6590" t="s">
        <v>6662</v>
      </c>
      <c r="E6590" t="s">
        <v>4</v>
      </c>
      <c r="F6590">
        <v>15</v>
      </c>
      <c r="H6590" t="s">
        <v>5</v>
      </c>
      <c r="I6590" s="1">
        <v>351.98</v>
      </c>
      <c r="J6590" s="1">
        <v>343.81</v>
      </c>
      <c r="K6590" t="s">
        <v>6</v>
      </c>
    </row>
    <row r="6591" spans="1:12">
      <c r="A6591" t="s">
        <v>6650</v>
      </c>
      <c r="B6591">
        <v>381409</v>
      </c>
      <c r="C6591" s="2" t="str">
        <f>"WCG75"</f>
        <v>WCG75</v>
      </c>
      <c r="D6591" t="s">
        <v>6663</v>
      </c>
      <c r="E6591" t="s">
        <v>4</v>
      </c>
      <c r="F6591">
        <v>12</v>
      </c>
      <c r="H6591" t="s">
        <v>5</v>
      </c>
      <c r="I6591" s="1">
        <v>180.57</v>
      </c>
      <c r="J6591" s="1">
        <v>180.57</v>
      </c>
      <c r="K6591" t="s">
        <v>6</v>
      </c>
    </row>
    <row r="6592" spans="1:12">
      <c r="A6592" t="s">
        <v>6650</v>
      </c>
      <c r="B6592">
        <v>483645</v>
      </c>
      <c r="C6592" s="2" t="str">
        <f>"WCO500"</f>
        <v>WCO500</v>
      </c>
      <c r="D6592" t="s">
        <v>6664</v>
      </c>
      <c r="E6592" t="s">
        <v>4</v>
      </c>
      <c r="F6592">
        <v>53</v>
      </c>
      <c r="H6592" t="s">
        <v>5</v>
      </c>
      <c r="I6592" s="1">
        <v>655.42</v>
      </c>
      <c r="J6592" s="1">
        <v>640.21</v>
      </c>
      <c r="K6592" t="s">
        <v>6</v>
      </c>
    </row>
    <row r="6593" spans="1:11">
      <c r="A6593" t="s">
        <v>6650</v>
      </c>
      <c r="B6593">
        <v>381410</v>
      </c>
      <c r="C6593" s="2" t="str">
        <f>"WCT704"</f>
        <v>WCT704</v>
      </c>
      <c r="D6593" t="s">
        <v>6665</v>
      </c>
      <c r="E6593" t="s">
        <v>4</v>
      </c>
      <c r="F6593">
        <v>5.3</v>
      </c>
      <c r="H6593" t="s">
        <v>5</v>
      </c>
      <c r="I6593" s="1">
        <v>144.33000000000001</v>
      </c>
      <c r="J6593" s="1">
        <v>144.33000000000001</v>
      </c>
      <c r="K6593" t="s">
        <v>6</v>
      </c>
    </row>
    <row r="6594" spans="1:11">
      <c r="A6594" t="s">
        <v>6650</v>
      </c>
      <c r="B6594">
        <v>416578</v>
      </c>
      <c r="C6594" s="2" t="str">
        <f>"WCT708-1"</f>
        <v>WCT708-1</v>
      </c>
      <c r="D6594" t="s">
        <v>6666</v>
      </c>
      <c r="E6594" t="s">
        <v>4</v>
      </c>
      <c r="F6594">
        <v>10</v>
      </c>
      <c r="H6594" t="s">
        <v>5</v>
      </c>
      <c r="I6594" s="1">
        <v>173.55</v>
      </c>
      <c r="J6594" s="1">
        <v>173.55</v>
      </c>
      <c r="K6594" t="s">
        <v>6</v>
      </c>
    </row>
    <row r="6595" spans="1:11">
      <c r="A6595" t="s">
        <v>6650</v>
      </c>
      <c r="B6595">
        <v>431458</v>
      </c>
      <c r="C6595" s="2" t="str">
        <f>"WCT800"</f>
        <v>WCT800</v>
      </c>
      <c r="D6595" t="s">
        <v>6667</v>
      </c>
      <c r="E6595" t="s">
        <v>4</v>
      </c>
      <c r="F6595">
        <v>22</v>
      </c>
      <c r="H6595" t="s">
        <v>5</v>
      </c>
      <c r="I6595" s="1">
        <v>378.28</v>
      </c>
      <c r="J6595" s="1">
        <v>378.28</v>
      </c>
      <c r="K6595" t="s">
        <v>6</v>
      </c>
    </row>
    <row r="6596" spans="1:11">
      <c r="A6596" t="s">
        <v>6650</v>
      </c>
      <c r="B6596">
        <v>483640</v>
      </c>
      <c r="C6596" s="2" t="str">
        <f>"WCT820"</f>
        <v>WCT820</v>
      </c>
      <c r="D6596" t="s">
        <v>6668</v>
      </c>
      <c r="E6596" t="s">
        <v>4</v>
      </c>
      <c r="F6596">
        <v>22</v>
      </c>
      <c r="H6596" t="s">
        <v>5</v>
      </c>
      <c r="I6596" s="1">
        <v>378.28</v>
      </c>
      <c r="J6596" s="1">
        <v>378.28</v>
      </c>
      <c r="K6596" t="s">
        <v>6</v>
      </c>
    </row>
    <row r="6597" spans="1:11">
      <c r="A6597" t="s">
        <v>6650</v>
      </c>
      <c r="B6597">
        <v>459658</v>
      </c>
      <c r="C6597" s="2" t="str">
        <f>"WDF75RC"</f>
        <v>WDF75RC</v>
      </c>
      <c r="D6597" t="s">
        <v>6669</v>
      </c>
      <c r="E6597" t="s">
        <v>4</v>
      </c>
      <c r="F6597">
        <v>26</v>
      </c>
      <c r="H6597" t="s">
        <v>5</v>
      </c>
      <c r="I6597" s="1">
        <v>276.75</v>
      </c>
      <c r="J6597" s="1">
        <v>276.75</v>
      </c>
      <c r="K6597" t="s">
        <v>6</v>
      </c>
    </row>
    <row r="6598" spans="1:11">
      <c r="A6598" t="s">
        <v>6650</v>
      </c>
      <c r="B6598">
        <v>536252</v>
      </c>
      <c r="C6598" s="2" t="str">
        <f>"WFP11S"</f>
        <v>WFP11S</v>
      </c>
      <c r="D6598" t="s">
        <v>6670</v>
      </c>
      <c r="E6598" t="s">
        <v>4</v>
      </c>
      <c r="F6598">
        <v>18</v>
      </c>
      <c r="H6598" t="s">
        <v>5</v>
      </c>
      <c r="I6598" s="1">
        <v>434.49</v>
      </c>
      <c r="J6598" s="1">
        <v>434.49</v>
      </c>
      <c r="K6598" t="s">
        <v>6</v>
      </c>
    </row>
    <row r="6599" spans="1:11">
      <c r="A6599" t="s">
        <v>6650</v>
      </c>
      <c r="B6599">
        <v>555399</v>
      </c>
      <c r="C6599" s="2" t="str">
        <f>"WFP14S"</f>
        <v>WFP14S</v>
      </c>
      <c r="D6599" t="s">
        <v>6671</v>
      </c>
      <c r="E6599" t="s">
        <v>4</v>
      </c>
      <c r="F6599">
        <v>20.25</v>
      </c>
      <c r="H6599" t="s">
        <v>5</v>
      </c>
      <c r="I6599" s="1">
        <v>539.75</v>
      </c>
      <c r="J6599" s="1">
        <v>539.75</v>
      </c>
      <c r="K6599" t="s">
        <v>6</v>
      </c>
    </row>
    <row r="6600" spans="1:11">
      <c r="A6600" t="s">
        <v>6650</v>
      </c>
      <c r="B6600">
        <v>537850</v>
      </c>
      <c r="C6600" s="2" t="str">
        <f>"WFP14SC"</f>
        <v>WFP14SC</v>
      </c>
      <c r="D6600" t="s">
        <v>6672</v>
      </c>
      <c r="E6600" t="s">
        <v>4</v>
      </c>
      <c r="F6600">
        <v>24</v>
      </c>
      <c r="H6600" t="s">
        <v>5</v>
      </c>
      <c r="I6600" s="1">
        <v>607.6</v>
      </c>
      <c r="J6600" s="1">
        <v>607.6</v>
      </c>
      <c r="K6600" t="s">
        <v>6</v>
      </c>
    </row>
    <row r="6601" spans="1:11">
      <c r="A6601" t="s">
        <v>6650</v>
      </c>
      <c r="B6601">
        <v>459654</v>
      </c>
      <c r="C6601" s="2" t="str">
        <f>"WKS800"</f>
        <v>WKS800</v>
      </c>
      <c r="D6601" t="s">
        <v>6673</v>
      </c>
      <c r="E6601" t="s">
        <v>4</v>
      </c>
      <c r="F6601">
        <v>24</v>
      </c>
      <c r="H6601" t="s">
        <v>5</v>
      </c>
      <c r="I6601" s="1">
        <v>245.17</v>
      </c>
      <c r="J6601" s="1">
        <v>245.17</v>
      </c>
      <c r="K6601" t="s">
        <v>6</v>
      </c>
    </row>
    <row r="6602" spans="1:11">
      <c r="A6602" t="s">
        <v>6650</v>
      </c>
      <c r="B6602">
        <v>459659</v>
      </c>
      <c r="C6602" s="2" t="str">
        <f>"WPG250"</f>
        <v>WPG250</v>
      </c>
      <c r="D6602" t="s">
        <v>6674</v>
      </c>
      <c r="E6602" t="s">
        <v>4</v>
      </c>
      <c r="F6602">
        <v>64</v>
      </c>
      <c r="H6602" t="s">
        <v>5</v>
      </c>
      <c r="I6602" s="1">
        <v>582.37</v>
      </c>
      <c r="J6602" s="1">
        <v>582.37</v>
      </c>
      <c r="K6602" t="s">
        <v>6</v>
      </c>
    </row>
    <row r="6603" spans="1:11">
      <c r="A6603" t="s">
        <v>6650</v>
      </c>
      <c r="B6603">
        <v>483643</v>
      </c>
      <c r="C6603" s="2" t="str">
        <f>"WSB2W"</f>
        <v>WSB2W</v>
      </c>
      <c r="D6603" t="s">
        <v>6675</v>
      </c>
      <c r="E6603" t="s">
        <v>4</v>
      </c>
      <c r="F6603">
        <v>4</v>
      </c>
      <c r="H6603" t="s">
        <v>5</v>
      </c>
      <c r="I6603" s="1">
        <v>257.97000000000003</v>
      </c>
      <c r="J6603" s="1">
        <v>251.18</v>
      </c>
      <c r="K6603" t="s">
        <v>6</v>
      </c>
    </row>
    <row r="6604" spans="1:11">
      <c r="A6604" t="s">
        <v>6650</v>
      </c>
      <c r="B6604">
        <v>432478</v>
      </c>
      <c r="C6604" s="2" t="str">
        <f>"WSB33"</f>
        <v>WSB33</v>
      </c>
      <c r="D6604" t="s">
        <v>6676</v>
      </c>
      <c r="E6604" t="s">
        <v>4</v>
      </c>
      <c r="F6604">
        <v>2.37</v>
      </c>
      <c r="H6604" t="s">
        <v>5</v>
      </c>
      <c r="I6604" s="1">
        <v>81.98</v>
      </c>
      <c r="J6604" s="1">
        <v>80.709999999999994</v>
      </c>
      <c r="K6604" t="s">
        <v>6</v>
      </c>
    </row>
    <row r="6605" spans="1:11">
      <c r="A6605" t="s">
        <v>6650</v>
      </c>
      <c r="B6605">
        <v>460725</v>
      </c>
      <c r="C6605" s="2" t="str">
        <f>"WSB40-3"</f>
        <v>WSB40-3</v>
      </c>
      <c r="D6605" t="s">
        <v>6677</v>
      </c>
      <c r="E6605" t="s">
        <v>4</v>
      </c>
      <c r="F6605">
        <v>6</v>
      </c>
      <c r="H6605" t="s">
        <v>5</v>
      </c>
      <c r="I6605" s="1">
        <v>196.12</v>
      </c>
      <c r="J6605" s="1">
        <v>196.12</v>
      </c>
      <c r="K6605" t="s">
        <v>6</v>
      </c>
    </row>
    <row r="6606" spans="1:11">
      <c r="A6606" t="s">
        <v>6650</v>
      </c>
      <c r="B6606">
        <v>431457</v>
      </c>
      <c r="C6606" s="2" t="str">
        <f>"WSB60-3"</f>
        <v>WSB60-3</v>
      </c>
      <c r="D6606" t="s">
        <v>6678</v>
      </c>
      <c r="E6606" t="s">
        <v>4</v>
      </c>
      <c r="F6606">
        <v>10</v>
      </c>
      <c r="H6606" t="s">
        <v>5</v>
      </c>
      <c r="I6606" s="1">
        <v>521.87</v>
      </c>
      <c r="J6606" s="1">
        <v>521.87</v>
      </c>
      <c r="K6606" t="s">
        <v>6</v>
      </c>
    </row>
    <row r="6607" spans="1:11">
      <c r="A6607" t="s">
        <v>6650</v>
      </c>
      <c r="B6607">
        <v>473402</v>
      </c>
      <c r="C6607" s="2" t="str">
        <f>"WSB70-3"</f>
        <v>WSB70-3</v>
      </c>
      <c r="D6607" t="s">
        <v>6679</v>
      </c>
      <c r="E6607" t="s">
        <v>4</v>
      </c>
      <c r="F6607">
        <v>12</v>
      </c>
      <c r="H6607" t="s">
        <v>5</v>
      </c>
      <c r="I6607" s="1">
        <v>726.97</v>
      </c>
      <c r="J6607" s="1">
        <v>726.97</v>
      </c>
      <c r="K6607" t="s">
        <v>6</v>
      </c>
    </row>
    <row r="6608" spans="1:11">
      <c r="A6608" t="s">
        <v>6650</v>
      </c>
      <c r="B6608">
        <v>483641</v>
      </c>
      <c r="C6608" s="2" t="str">
        <f>"WSM7Q"</f>
        <v>WSM7Q</v>
      </c>
      <c r="D6608" t="s">
        <v>6680</v>
      </c>
      <c r="E6608" t="s">
        <v>4</v>
      </c>
      <c r="F6608">
        <v>31</v>
      </c>
      <c r="H6608" t="s">
        <v>5</v>
      </c>
      <c r="I6608" s="1">
        <v>642.59</v>
      </c>
      <c r="J6608" s="1">
        <v>642.59</v>
      </c>
      <c r="K6608" t="s">
        <v>6</v>
      </c>
    </row>
    <row r="6609" spans="1:12">
      <c r="A6609" t="s">
        <v>6650</v>
      </c>
      <c r="B6609">
        <v>540425</v>
      </c>
      <c r="C6609" s="2" t="str">
        <f>"WW180"</f>
        <v>WW180</v>
      </c>
      <c r="D6609" t="s">
        <v>6681</v>
      </c>
      <c r="E6609" t="s">
        <v>4</v>
      </c>
      <c r="F6609">
        <v>15.5</v>
      </c>
      <c r="H6609" t="s">
        <v>5</v>
      </c>
      <c r="I6609" s="1">
        <v>345</v>
      </c>
      <c r="J6609" s="1">
        <v>345</v>
      </c>
      <c r="K6609" t="s">
        <v>6</v>
      </c>
    </row>
    <row r="6610" spans="1:12">
      <c r="A6610" t="s">
        <v>6650</v>
      </c>
      <c r="B6610">
        <v>537849</v>
      </c>
      <c r="C6610" s="2" t="str">
        <f>"WW200"</f>
        <v>WW200</v>
      </c>
      <c r="D6610" t="s">
        <v>6682</v>
      </c>
      <c r="E6610" t="s">
        <v>4</v>
      </c>
      <c r="F6610">
        <v>24</v>
      </c>
      <c r="H6610" t="s">
        <v>5</v>
      </c>
      <c r="I6610" s="1">
        <v>464.12</v>
      </c>
      <c r="J6610" s="1">
        <v>464.12</v>
      </c>
      <c r="K6610" t="s">
        <v>6</v>
      </c>
    </row>
    <row r="6611" spans="1:12">
      <c r="A6611" t="s">
        <v>6683</v>
      </c>
      <c r="B6611">
        <v>379737</v>
      </c>
      <c r="C6611" s="2" t="str">
        <f>"7759"</f>
        <v>7759</v>
      </c>
      <c r="D6611" t="s">
        <v>6684</v>
      </c>
      <c r="E6611" t="s">
        <v>4</v>
      </c>
      <c r="F6611">
        <v>3.5</v>
      </c>
      <c r="H6611" t="s">
        <v>5</v>
      </c>
      <c r="I6611" s="1">
        <v>46.74</v>
      </c>
      <c r="J6611" s="1">
        <v>46.01</v>
      </c>
      <c r="K6611" t="s">
        <v>6</v>
      </c>
    </row>
    <row r="6612" spans="1:12">
      <c r="A6612" t="s">
        <v>6683</v>
      </c>
      <c r="B6612">
        <v>471810</v>
      </c>
      <c r="C6612" s="2" t="str">
        <f>"7760"</f>
        <v>7760</v>
      </c>
      <c r="D6612" t="s">
        <v>6685</v>
      </c>
      <c r="E6612" t="s">
        <v>4</v>
      </c>
      <c r="F6612">
        <v>28.02</v>
      </c>
      <c r="G6612">
        <v>4.67</v>
      </c>
      <c r="H6612" t="s">
        <v>20</v>
      </c>
      <c r="I6612" s="1">
        <v>51.12</v>
      </c>
      <c r="J6612" s="1">
        <v>50.32</v>
      </c>
      <c r="K6612" t="s">
        <v>457</v>
      </c>
      <c r="L6612" s="1">
        <v>55.36</v>
      </c>
    </row>
    <row r="6613" spans="1:12">
      <c r="A6613" t="s">
        <v>6683</v>
      </c>
      <c r="B6613">
        <v>493435</v>
      </c>
      <c r="C6613" s="2" t="str">
        <f>"8852"</f>
        <v>8852</v>
      </c>
      <c r="D6613" t="s">
        <v>6686</v>
      </c>
      <c r="E6613" t="s">
        <v>4</v>
      </c>
      <c r="F6613">
        <v>2</v>
      </c>
      <c r="H6613" t="s">
        <v>5</v>
      </c>
      <c r="I6613" s="1">
        <v>67.430000000000007</v>
      </c>
      <c r="J6613" s="1">
        <v>66.38</v>
      </c>
      <c r="K6613" t="s">
        <v>6</v>
      </c>
    </row>
    <row r="6614" spans="1:12">
      <c r="A6614" t="s">
        <v>6683</v>
      </c>
      <c r="B6614">
        <v>371137</v>
      </c>
      <c r="C6614" s="2" t="str">
        <f>"8885"</f>
        <v>8885</v>
      </c>
      <c r="D6614" t="s">
        <v>6687</v>
      </c>
      <c r="E6614" t="s">
        <v>4</v>
      </c>
      <c r="F6614">
        <v>4</v>
      </c>
      <c r="H6614" t="s">
        <v>5</v>
      </c>
      <c r="I6614" s="1">
        <v>46.1</v>
      </c>
      <c r="J6614" s="1">
        <v>45.38</v>
      </c>
      <c r="K6614" t="s">
        <v>6</v>
      </c>
    </row>
    <row r="6615" spans="1:12">
      <c r="A6615" t="s">
        <v>6683</v>
      </c>
      <c r="B6615">
        <v>379733</v>
      </c>
      <c r="C6615" s="2" t="str">
        <f>"8895"</f>
        <v>8895</v>
      </c>
      <c r="D6615" t="s">
        <v>6688</v>
      </c>
      <c r="E6615" t="s">
        <v>4</v>
      </c>
      <c r="F6615">
        <v>3.5</v>
      </c>
      <c r="H6615" t="s">
        <v>5</v>
      </c>
      <c r="I6615" s="1">
        <v>46.1</v>
      </c>
      <c r="J6615" s="1">
        <v>45.38</v>
      </c>
      <c r="K6615" t="s">
        <v>6</v>
      </c>
    </row>
    <row r="6616" spans="1:12">
      <c r="A6616" t="s">
        <v>6683</v>
      </c>
      <c r="B6616">
        <v>379721</v>
      </c>
      <c r="C6616" s="2" t="str">
        <f>"8903"</f>
        <v>8903</v>
      </c>
      <c r="D6616" t="s">
        <v>6689</v>
      </c>
      <c r="E6616" t="s">
        <v>4</v>
      </c>
      <c r="F6616">
        <v>4</v>
      </c>
      <c r="H6616" t="s">
        <v>5</v>
      </c>
      <c r="I6616" s="1">
        <v>16.37</v>
      </c>
      <c r="J6616" s="1">
        <v>16.12</v>
      </c>
      <c r="K6616" t="s">
        <v>6</v>
      </c>
    </row>
    <row r="6617" spans="1:12">
      <c r="A6617" t="s">
        <v>6683</v>
      </c>
      <c r="B6617">
        <v>379731</v>
      </c>
      <c r="C6617" s="2" t="str">
        <f>"8913"</f>
        <v>8913</v>
      </c>
      <c r="D6617" t="s">
        <v>6690</v>
      </c>
      <c r="E6617" t="s">
        <v>4</v>
      </c>
      <c r="F6617">
        <v>4</v>
      </c>
      <c r="H6617" t="s">
        <v>5</v>
      </c>
      <c r="I6617" s="1">
        <v>16.37</v>
      </c>
      <c r="J6617" s="1">
        <v>16.12</v>
      </c>
      <c r="K6617" t="s">
        <v>6</v>
      </c>
    </row>
    <row r="6618" spans="1:12">
      <c r="A6618" t="s">
        <v>6691</v>
      </c>
      <c r="B6618">
        <v>504813</v>
      </c>
      <c r="C6618" s="2" t="str">
        <f>"AAD-12"</f>
        <v>AAD-12</v>
      </c>
      <c r="D6618" t="s">
        <v>6692</v>
      </c>
      <c r="E6618" t="s">
        <v>4</v>
      </c>
      <c r="F6618">
        <v>5.28</v>
      </c>
      <c r="G6618">
        <v>0.44</v>
      </c>
      <c r="H6618" t="s">
        <v>106</v>
      </c>
      <c r="I6618" s="1">
        <v>6.14</v>
      </c>
      <c r="J6618" s="1">
        <v>5.85</v>
      </c>
      <c r="K6618" t="s">
        <v>457</v>
      </c>
      <c r="L6618" s="1">
        <v>6.44</v>
      </c>
    </row>
    <row r="6619" spans="1:12">
      <c r="A6619" t="s">
        <v>6691</v>
      </c>
      <c r="B6619">
        <v>504814</v>
      </c>
      <c r="C6619" s="2" t="str">
        <f>"AFP-10A"</f>
        <v>AFP-10A</v>
      </c>
      <c r="D6619" t="s">
        <v>6693</v>
      </c>
      <c r="E6619" t="s">
        <v>4</v>
      </c>
      <c r="F6619">
        <v>15</v>
      </c>
      <c r="G6619">
        <v>2.5</v>
      </c>
      <c r="H6619" t="s">
        <v>20</v>
      </c>
      <c r="I6619" s="1">
        <v>10.51</v>
      </c>
      <c r="J6619" s="1">
        <v>10.01</v>
      </c>
      <c r="K6619" t="s">
        <v>457</v>
      </c>
      <c r="L6619" s="1">
        <v>11.01</v>
      </c>
    </row>
    <row r="6620" spans="1:12">
      <c r="A6620" t="s">
        <v>6691</v>
      </c>
      <c r="B6620">
        <v>504815</v>
      </c>
      <c r="C6620" s="2" t="str">
        <f>"AFP-10NS-H"</f>
        <v>AFP-10NS-H</v>
      </c>
      <c r="D6620" t="s">
        <v>6694</v>
      </c>
      <c r="E6620" t="s">
        <v>4</v>
      </c>
      <c r="F6620">
        <v>15.48</v>
      </c>
      <c r="G6620">
        <v>2.58</v>
      </c>
      <c r="H6620" t="s">
        <v>20</v>
      </c>
      <c r="I6620" s="1">
        <v>12.15</v>
      </c>
      <c r="J6620" s="1">
        <v>11.57</v>
      </c>
      <c r="K6620" t="s">
        <v>457</v>
      </c>
      <c r="L6620" s="1">
        <v>12.73</v>
      </c>
    </row>
    <row r="6621" spans="1:12">
      <c r="A6621" t="s">
        <v>6691</v>
      </c>
      <c r="B6621">
        <v>504817</v>
      </c>
      <c r="C6621" s="2" t="str">
        <f>"AFP-10XC-H"</f>
        <v>AFP-10XC-H</v>
      </c>
      <c r="D6621" t="s">
        <v>6695</v>
      </c>
      <c r="E6621" t="s">
        <v>4</v>
      </c>
      <c r="F6621">
        <v>15.78</v>
      </c>
      <c r="G6621">
        <v>2.63</v>
      </c>
      <c r="H6621" t="s">
        <v>20</v>
      </c>
      <c r="I6621" s="1">
        <v>14.21</v>
      </c>
      <c r="J6621" s="1">
        <v>13.53</v>
      </c>
      <c r="K6621" t="s">
        <v>457</v>
      </c>
      <c r="L6621" s="1">
        <v>14.89</v>
      </c>
    </row>
    <row r="6622" spans="1:12">
      <c r="A6622" t="s">
        <v>6691</v>
      </c>
      <c r="B6622">
        <v>504818</v>
      </c>
      <c r="C6622" s="2" t="str">
        <f>"AFP-12A"</f>
        <v>AFP-12A</v>
      </c>
      <c r="D6622" t="s">
        <v>6696</v>
      </c>
      <c r="E6622" t="s">
        <v>4</v>
      </c>
      <c r="F6622">
        <v>19.8</v>
      </c>
      <c r="G6622">
        <v>3.3</v>
      </c>
      <c r="H6622" t="s">
        <v>20</v>
      </c>
      <c r="I6622" s="1">
        <v>14.06</v>
      </c>
      <c r="J6622" s="1">
        <v>13.39</v>
      </c>
      <c r="K6622" t="s">
        <v>457</v>
      </c>
      <c r="L6622" s="1">
        <v>14.73</v>
      </c>
    </row>
    <row r="6623" spans="1:12">
      <c r="A6623" t="s">
        <v>6691</v>
      </c>
      <c r="B6623">
        <v>504819</v>
      </c>
      <c r="C6623" s="2" t="str">
        <f>"AFP-12NS-H"</f>
        <v>AFP-12NS-H</v>
      </c>
      <c r="D6623" t="s">
        <v>6697</v>
      </c>
      <c r="E6623" t="s">
        <v>4</v>
      </c>
      <c r="F6623">
        <v>12.66</v>
      </c>
      <c r="G6623">
        <v>2.11</v>
      </c>
      <c r="H6623" t="s">
        <v>20</v>
      </c>
      <c r="I6623" s="1">
        <v>16.79</v>
      </c>
      <c r="J6623" s="1">
        <v>15.99</v>
      </c>
      <c r="K6623" t="s">
        <v>457</v>
      </c>
      <c r="L6623" s="1">
        <v>17.59</v>
      </c>
    </row>
    <row r="6624" spans="1:12">
      <c r="A6624" t="s">
        <v>6691</v>
      </c>
      <c r="B6624">
        <v>504820</v>
      </c>
      <c r="C6624" s="2" t="str">
        <f>"AFP-12XC-H"</f>
        <v>AFP-12XC-H</v>
      </c>
      <c r="D6624" t="s">
        <v>6698</v>
      </c>
      <c r="E6624" t="s">
        <v>4</v>
      </c>
      <c r="F6624">
        <v>21.78</v>
      </c>
      <c r="G6624">
        <v>3.63</v>
      </c>
      <c r="H6624" t="s">
        <v>20</v>
      </c>
      <c r="I6624" s="1">
        <v>19.93</v>
      </c>
      <c r="J6624" s="1">
        <v>18.98</v>
      </c>
      <c r="K6624" t="s">
        <v>457</v>
      </c>
      <c r="L6624" s="1">
        <v>20.88</v>
      </c>
    </row>
    <row r="6625" spans="1:12">
      <c r="A6625" t="s">
        <v>6691</v>
      </c>
      <c r="B6625">
        <v>504821</v>
      </c>
      <c r="C6625" s="2" t="str">
        <f>"AFP-14A"</f>
        <v>AFP-14A</v>
      </c>
      <c r="D6625" t="s">
        <v>6699</v>
      </c>
      <c r="E6625" t="s">
        <v>4</v>
      </c>
      <c r="F6625">
        <v>24</v>
      </c>
      <c r="G6625">
        <v>4</v>
      </c>
      <c r="H6625" t="s">
        <v>20</v>
      </c>
      <c r="I6625" s="1">
        <v>18.88</v>
      </c>
      <c r="J6625" s="1">
        <v>17.98</v>
      </c>
      <c r="K6625" t="s">
        <v>457</v>
      </c>
      <c r="L6625" s="1">
        <v>19.78</v>
      </c>
    </row>
    <row r="6626" spans="1:12">
      <c r="A6626" t="s">
        <v>6691</v>
      </c>
      <c r="B6626">
        <v>504822</v>
      </c>
      <c r="C6626" s="2" t="str">
        <f>"AFP-14NS-H"</f>
        <v>AFP-14NS-H</v>
      </c>
      <c r="D6626" t="s">
        <v>6700</v>
      </c>
      <c r="E6626" t="s">
        <v>4</v>
      </c>
      <c r="F6626">
        <v>29.1</v>
      </c>
      <c r="G6626">
        <v>4.8499999999999996</v>
      </c>
      <c r="H6626" t="s">
        <v>20</v>
      </c>
      <c r="I6626" s="1">
        <v>22.66</v>
      </c>
      <c r="J6626" s="1">
        <v>21.58</v>
      </c>
      <c r="K6626" t="s">
        <v>457</v>
      </c>
      <c r="L6626" s="1">
        <v>23.74</v>
      </c>
    </row>
    <row r="6627" spans="1:12">
      <c r="A6627" t="s">
        <v>6691</v>
      </c>
      <c r="B6627">
        <v>504824</v>
      </c>
      <c r="C6627" s="2" t="str">
        <f>"AFP-14XC-H"</f>
        <v>AFP-14XC-H</v>
      </c>
      <c r="D6627" t="s">
        <v>6701</v>
      </c>
      <c r="E6627" t="s">
        <v>4</v>
      </c>
      <c r="F6627">
        <v>27.78</v>
      </c>
      <c r="G6627">
        <v>4.63</v>
      </c>
      <c r="H6627" t="s">
        <v>20</v>
      </c>
      <c r="I6627" s="1">
        <v>25.83</v>
      </c>
      <c r="J6627" s="1">
        <v>24.6</v>
      </c>
      <c r="K6627" t="s">
        <v>457</v>
      </c>
      <c r="L6627" s="1">
        <v>27.06</v>
      </c>
    </row>
    <row r="6628" spans="1:12">
      <c r="A6628" t="s">
        <v>6691</v>
      </c>
      <c r="B6628">
        <v>504825</v>
      </c>
      <c r="C6628" s="2" t="str">
        <f>"AFP-8A"</f>
        <v>AFP-8A</v>
      </c>
      <c r="D6628" t="s">
        <v>6702</v>
      </c>
      <c r="E6628" t="s">
        <v>4</v>
      </c>
      <c r="F6628">
        <v>9.6</v>
      </c>
      <c r="G6628">
        <v>1.6</v>
      </c>
      <c r="H6628" t="s">
        <v>20</v>
      </c>
      <c r="I6628" s="1">
        <v>7.6</v>
      </c>
      <c r="J6628" s="1">
        <v>7.24</v>
      </c>
      <c r="K6628" t="s">
        <v>457</v>
      </c>
      <c r="L6628" s="1">
        <v>7.97</v>
      </c>
    </row>
    <row r="6629" spans="1:12">
      <c r="A6629" t="s">
        <v>6691</v>
      </c>
      <c r="B6629">
        <v>504827</v>
      </c>
      <c r="C6629" s="2" t="str">
        <f>"AFP-8NS-H"</f>
        <v>AFP-8NS-H</v>
      </c>
      <c r="D6629" t="s">
        <v>6703</v>
      </c>
      <c r="E6629" t="s">
        <v>4</v>
      </c>
      <c r="F6629">
        <v>10.02</v>
      </c>
      <c r="G6629">
        <v>1.67</v>
      </c>
      <c r="H6629" t="s">
        <v>20</v>
      </c>
      <c r="I6629" s="1">
        <v>8.6</v>
      </c>
      <c r="J6629" s="1">
        <v>8.19</v>
      </c>
      <c r="K6629" t="s">
        <v>457</v>
      </c>
      <c r="L6629" s="1">
        <v>9.01</v>
      </c>
    </row>
    <row r="6630" spans="1:12">
      <c r="A6630" t="s">
        <v>6691</v>
      </c>
      <c r="B6630">
        <v>504828</v>
      </c>
      <c r="C6630" s="2" t="str">
        <f>"AFP-8XC-H"</f>
        <v>AFP-8XC-H</v>
      </c>
      <c r="D6630" t="s">
        <v>6704</v>
      </c>
      <c r="E6630" t="s">
        <v>4</v>
      </c>
      <c r="F6630">
        <v>10.8</v>
      </c>
      <c r="G6630">
        <v>1.8</v>
      </c>
      <c r="H6630" t="s">
        <v>20</v>
      </c>
      <c r="I6630" s="1">
        <v>10.18</v>
      </c>
      <c r="J6630" s="1">
        <v>9.6999999999999993</v>
      </c>
      <c r="K6630" t="s">
        <v>457</v>
      </c>
      <c r="L6630" s="1">
        <v>10.67</v>
      </c>
    </row>
    <row r="6631" spans="1:12">
      <c r="A6631" t="s">
        <v>6691</v>
      </c>
      <c r="B6631">
        <v>504957</v>
      </c>
      <c r="C6631" s="2" t="str">
        <f>"ALB-15"</f>
        <v>ALB-15</v>
      </c>
      <c r="D6631" t="s">
        <v>6705</v>
      </c>
      <c r="E6631" t="s">
        <v>4</v>
      </c>
      <c r="F6631">
        <v>6.2</v>
      </c>
      <c r="H6631" t="s">
        <v>5</v>
      </c>
      <c r="I6631" s="1">
        <v>28.32</v>
      </c>
      <c r="J6631" s="1">
        <v>26.98</v>
      </c>
      <c r="K6631" t="s">
        <v>6</v>
      </c>
    </row>
    <row r="6632" spans="1:12">
      <c r="A6632" t="s">
        <v>6691</v>
      </c>
      <c r="B6632">
        <v>504962</v>
      </c>
      <c r="C6632" s="2" t="str">
        <f>"ALB-18"</f>
        <v>ALB-18</v>
      </c>
      <c r="D6632" t="s">
        <v>6706</v>
      </c>
      <c r="E6632" t="s">
        <v>4</v>
      </c>
      <c r="F6632">
        <v>7</v>
      </c>
      <c r="H6632" t="s">
        <v>5</v>
      </c>
      <c r="I6632" s="1">
        <v>35.22</v>
      </c>
      <c r="J6632" s="1">
        <v>33.54</v>
      </c>
      <c r="K6632" t="s">
        <v>6</v>
      </c>
    </row>
    <row r="6633" spans="1:12">
      <c r="A6633" t="s">
        <v>6691</v>
      </c>
      <c r="B6633">
        <v>504964</v>
      </c>
      <c r="C6633" s="2" t="str">
        <f>"ALB-24"</f>
        <v>ALB-24</v>
      </c>
      <c r="D6633" t="s">
        <v>6707</v>
      </c>
      <c r="E6633" t="s">
        <v>4</v>
      </c>
      <c r="F6633">
        <v>8.1999999999999993</v>
      </c>
      <c r="H6633" t="s">
        <v>5</v>
      </c>
      <c r="I6633" s="1">
        <v>41.63</v>
      </c>
      <c r="J6633" s="1">
        <v>39.65</v>
      </c>
      <c r="K6633" t="s">
        <v>6</v>
      </c>
    </row>
    <row r="6634" spans="1:12">
      <c r="A6634" t="s">
        <v>6691</v>
      </c>
      <c r="B6634">
        <v>504829</v>
      </c>
      <c r="C6634" s="2" t="str">
        <f>"ALPC-100"</f>
        <v>ALPC-100</v>
      </c>
      <c r="D6634" t="s">
        <v>6708</v>
      </c>
      <c r="E6634" t="s">
        <v>4</v>
      </c>
      <c r="F6634">
        <v>18</v>
      </c>
      <c r="G6634">
        <v>3</v>
      </c>
      <c r="H6634" t="s">
        <v>20</v>
      </c>
      <c r="I6634" s="1">
        <v>15.7</v>
      </c>
      <c r="J6634" s="1">
        <v>14.95</v>
      </c>
      <c r="K6634" t="s">
        <v>457</v>
      </c>
      <c r="L6634" s="1">
        <v>16.45</v>
      </c>
    </row>
    <row r="6635" spans="1:12">
      <c r="A6635" t="s">
        <v>6691</v>
      </c>
      <c r="B6635">
        <v>504830</v>
      </c>
      <c r="C6635" s="2" t="str">
        <f>"ALPC-20"</f>
        <v>ALPC-20</v>
      </c>
      <c r="D6635" t="s">
        <v>6709</v>
      </c>
      <c r="E6635" t="s">
        <v>4</v>
      </c>
      <c r="F6635">
        <v>7.02</v>
      </c>
      <c r="G6635">
        <v>1.17</v>
      </c>
      <c r="H6635" t="s">
        <v>20</v>
      </c>
      <c r="I6635" s="1">
        <v>5.19</v>
      </c>
      <c r="J6635" s="1">
        <v>4.9400000000000004</v>
      </c>
      <c r="K6635" t="s">
        <v>457</v>
      </c>
      <c r="L6635" s="1">
        <v>5.43</v>
      </c>
    </row>
    <row r="6636" spans="1:12">
      <c r="A6636" t="s">
        <v>6691</v>
      </c>
      <c r="B6636">
        <v>504831</v>
      </c>
      <c r="C6636" s="2" t="str">
        <f>"ALPC-24"</f>
        <v>ALPC-24</v>
      </c>
      <c r="D6636" t="s">
        <v>6710</v>
      </c>
      <c r="E6636" t="s">
        <v>4</v>
      </c>
      <c r="F6636">
        <v>8.4</v>
      </c>
      <c r="G6636">
        <v>1.4</v>
      </c>
      <c r="H6636" t="s">
        <v>20</v>
      </c>
      <c r="I6636" s="1">
        <v>5.87</v>
      </c>
      <c r="J6636" s="1">
        <v>5.59</v>
      </c>
      <c r="K6636" t="s">
        <v>457</v>
      </c>
      <c r="L6636" s="1">
        <v>6.15</v>
      </c>
    </row>
    <row r="6637" spans="1:12">
      <c r="A6637" t="s">
        <v>6691</v>
      </c>
      <c r="B6637">
        <v>504832</v>
      </c>
      <c r="C6637" s="2" t="str">
        <f>"ALPC-32"</f>
        <v>ALPC-32</v>
      </c>
      <c r="D6637" t="s">
        <v>6711</v>
      </c>
      <c r="E6637" t="s">
        <v>4</v>
      </c>
      <c r="F6637">
        <v>10.02</v>
      </c>
      <c r="G6637">
        <v>1.67</v>
      </c>
      <c r="H6637" t="s">
        <v>20</v>
      </c>
      <c r="I6637" s="1">
        <v>7.85</v>
      </c>
      <c r="J6637" s="1">
        <v>7.48</v>
      </c>
      <c r="K6637" t="s">
        <v>457</v>
      </c>
      <c r="L6637" s="1">
        <v>8.2200000000000006</v>
      </c>
    </row>
    <row r="6638" spans="1:12">
      <c r="A6638" t="s">
        <v>6691</v>
      </c>
      <c r="B6638">
        <v>504833</v>
      </c>
      <c r="C6638" s="2" t="str">
        <f>"ALPC-40"</f>
        <v>ALPC-40</v>
      </c>
      <c r="D6638" t="s">
        <v>6712</v>
      </c>
      <c r="E6638" t="s">
        <v>4</v>
      </c>
      <c r="F6638">
        <v>10.38</v>
      </c>
      <c r="G6638">
        <v>1.73</v>
      </c>
      <c r="H6638" t="s">
        <v>20</v>
      </c>
      <c r="I6638" s="1">
        <v>7.99</v>
      </c>
      <c r="J6638" s="1">
        <v>7.61</v>
      </c>
      <c r="K6638" t="s">
        <v>457</v>
      </c>
      <c r="L6638" s="1">
        <v>8.3699999999999992</v>
      </c>
    </row>
    <row r="6639" spans="1:12">
      <c r="A6639" t="s">
        <v>6691</v>
      </c>
      <c r="B6639">
        <v>504835</v>
      </c>
      <c r="C6639" s="2" t="str">
        <f>"ALPC-50"</f>
        <v>ALPC-50</v>
      </c>
      <c r="D6639" t="s">
        <v>6713</v>
      </c>
      <c r="E6639" t="s">
        <v>4</v>
      </c>
      <c r="F6639">
        <v>11.4</v>
      </c>
      <c r="G6639">
        <v>1.9</v>
      </c>
      <c r="H6639" t="s">
        <v>20</v>
      </c>
      <c r="I6639" s="1">
        <v>10.65</v>
      </c>
      <c r="J6639" s="1">
        <v>10.14</v>
      </c>
      <c r="K6639" t="s">
        <v>457</v>
      </c>
      <c r="L6639" s="1">
        <v>11.15</v>
      </c>
    </row>
    <row r="6640" spans="1:12">
      <c r="A6640" t="s">
        <v>6691</v>
      </c>
      <c r="B6640">
        <v>504838</v>
      </c>
      <c r="C6640" s="2" t="str">
        <f>"ALPC-60"</f>
        <v>ALPC-60</v>
      </c>
      <c r="D6640" t="s">
        <v>6714</v>
      </c>
      <c r="E6640" t="s">
        <v>4</v>
      </c>
      <c r="F6640">
        <v>14.22</v>
      </c>
      <c r="G6640">
        <v>2.37</v>
      </c>
      <c r="H6640" t="s">
        <v>20</v>
      </c>
      <c r="I6640" s="1">
        <v>10.72</v>
      </c>
      <c r="J6640" s="1">
        <v>10.210000000000001</v>
      </c>
      <c r="K6640" t="s">
        <v>457</v>
      </c>
      <c r="L6640" s="1">
        <v>11.23</v>
      </c>
    </row>
    <row r="6641" spans="1:12">
      <c r="A6641" t="s">
        <v>6691</v>
      </c>
      <c r="B6641">
        <v>504839</v>
      </c>
      <c r="C6641" s="2" t="str">
        <f>"ALPC-80"</f>
        <v>ALPC-80</v>
      </c>
      <c r="D6641" t="s">
        <v>6715</v>
      </c>
      <c r="E6641" t="s">
        <v>4</v>
      </c>
      <c r="F6641">
        <v>16.98</v>
      </c>
      <c r="G6641">
        <v>2.83</v>
      </c>
      <c r="H6641" t="s">
        <v>20</v>
      </c>
      <c r="I6641" s="1">
        <v>13.1</v>
      </c>
      <c r="J6641" s="1">
        <v>12.48</v>
      </c>
      <c r="K6641" t="s">
        <v>457</v>
      </c>
      <c r="L6641" s="1">
        <v>13.73</v>
      </c>
    </row>
    <row r="6642" spans="1:12">
      <c r="A6642" t="s">
        <v>6691</v>
      </c>
      <c r="B6642">
        <v>505001</v>
      </c>
      <c r="C6642" s="2" t="str">
        <f>"ALRK-20"</f>
        <v>ALRK-20</v>
      </c>
      <c r="D6642" t="s">
        <v>6716</v>
      </c>
      <c r="E6642" t="s">
        <v>4</v>
      </c>
      <c r="F6642">
        <v>36.6</v>
      </c>
      <c r="H6642" t="s">
        <v>5</v>
      </c>
      <c r="I6642" s="1">
        <v>120.8</v>
      </c>
      <c r="J6642" s="1">
        <v>115.05</v>
      </c>
      <c r="K6642" t="s">
        <v>6</v>
      </c>
    </row>
    <row r="6643" spans="1:12">
      <c r="A6643" t="s">
        <v>6691</v>
      </c>
      <c r="B6643">
        <v>504965</v>
      </c>
      <c r="C6643" s="2" t="str">
        <f>"ALST-100"</f>
        <v>ALST-100</v>
      </c>
      <c r="D6643" t="s">
        <v>6717</v>
      </c>
      <c r="E6643" t="s">
        <v>4</v>
      </c>
      <c r="F6643">
        <v>19.2</v>
      </c>
      <c r="H6643" t="s">
        <v>5</v>
      </c>
      <c r="I6643" s="1">
        <v>83.95</v>
      </c>
      <c r="J6643" s="1">
        <v>79.95</v>
      </c>
      <c r="K6643" t="s">
        <v>6</v>
      </c>
    </row>
    <row r="6644" spans="1:12">
      <c r="A6644" t="s">
        <v>6691</v>
      </c>
      <c r="B6644">
        <v>504966</v>
      </c>
      <c r="C6644" s="2" t="str">
        <f>"ALST-20"</f>
        <v>ALST-20</v>
      </c>
      <c r="D6644" t="s">
        <v>6718</v>
      </c>
      <c r="E6644" t="s">
        <v>4</v>
      </c>
      <c r="F6644">
        <v>6.8</v>
      </c>
      <c r="H6644" t="s">
        <v>5</v>
      </c>
      <c r="I6644" s="1">
        <v>23.55</v>
      </c>
      <c r="J6644" s="1">
        <v>22.43</v>
      </c>
      <c r="K6644" t="s">
        <v>6</v>
      </c>
    </row>
    <row r="6645" spans="1:12">
      <c r="A6645" t="s">
        <v>6691</v>
      </c>
      <c r="B6645">
        <v>504967</v>
      </c>
      <c r="C6645" s="2" t="str">
        <f>"ALST-24"</f>
        <v>ALST-24</v>
      </c>
      <c r="D6645" t="s">
        <v>6719</v>
      </c>
      <c r="E6645" t="s">
        <v>4</v>
      </c>
      <c r="F6645">
        <v>7</v>
      </c>
      <c r="H6645" t="s">
        <v>5</v>
      </c>
      <c r="I6645" s="1">
        <v>25.87</v>
      </c>
      <c r="J6645" s="1">
        <v>24.64</v>
      </c>
      <c r="K6645" t="s">
        <v>6</v>
      </c>
    </row>
    <row r="6646" spans="1:12">
      <c r="A6646" t="s">
        <v>6691</v>
      </c>
      <c r="B6646">
        <v>504968</v>
      </c>
      <c r="C6646" s="2" t="str">
        <f>"ALST-32"</f>
        <v>ALST-32</v>
      </c>
      <c r="D6646" t="s">
        <v>6720</v>
      </c>
      <c r="E6646" t="s">
        <v>4</v>
      </c>
      <c r="F6646">
        <v>9</v>
      </c>
      <c r="H6646" t="s">
        <v>5</v>
      </c>
      <c r="I6646" s="1">
        <v>31.05</v>
      </c>
      <c r="J6646" s="1">
        <v>29.58</v>
      </c>
      <c r="K6646" t="s">
        <v>6</v>
      </c>
    </row>
    <row r="6647" spans="1:12">
      <c r="A6647" t="s">
        <v>6691</v>
      </c>
      <c r="B6647">
        <v>504969</v>
      </c>
      <c r="C6647" s="2" t="str">
        <f>"ALST-40"</f>
        <v>ALST-40</v>
      </c>
      <c r="D6647" t="s">
        <v>6721</v>
      </c>
      <c r="E6647" t="s">
        <v>4</v>
      </c>
      <c r="F6647">
        <v>10</v>
      </c>
      <c r="H6647" t="s">
        <v>5</v>
      </c>
      <c r="I6647" s="1">
        <v>37.33</v>
      </c>
      <c r="J6647" s="1">
        <v>35.56</v>
      </c>
      <c r="K6647" t="s">
        <v>6</v>
      </c>
    </row>
    <row r="6648" spans="1:12">
      <c r="A6648" t="s">
        <v>6691</v>
      </c>
      <c r="B6648">
        <v>504970</v>
      </c>
      <c r="C6648" s="2" t="str">
        <f>"ALST-50"</f>
        <v>ALST-50</v>
      </c>
      <c r="D6648" t="s">
        <v>6722</v>
      </c>
      <c r="E6648" t="s">
        <v>4</v>
      </c>
      <c r="F6648">
        <v>12.4</v>
      </c>
      <c r="H6648" t="s">
        <v>5</v>
      </c>
      <c r="I6648" s="1">
        <v>61.29</v>
      </c>
      <c r="J6648" s="1">
        <v>58.37</v>
      </c>
      <c r="K6648" t="s">
        <v>6</v>
      </c>
    </row>
    <row r="6649" spans="1:12">
      <c r="A6649" t="s">
        <v>6691</v>
      </c>
      <c r="B6649">
        <v>504972</v>
      </c>
      <c r="C6649" s="2" t="str">
        <f>"ALST-60"</f>
        <v>ALST-60</v>
      </c>
      <c r="D6649" t="s">
        <v>6723</v>
      </c>
      <c r="E6649" t="s">
        <v>4</v>
      </c>
      <c r="F6649">
        <v>15</v>
      </c>
      <c r="H6649" t="s">
        <v>5</v>
      </c>
      <c r="I6649" s="1">
        <v>61.63</v>
      </c>
      <c r="J6649" s="1">
        <v>58.7</v>
      </c>
      <c r="K6649" t="s">
        <v>6</v>
      </c>
    </row>
    <row r="6650" spans="1:12">
      <c r="A6650" t="s">
        <v>6691</v>
      </c>
      <c r="B6650">
        <v>504973</v>
      </c>
      <c r="C6650" s="2" t="str">
        <f>"ALST-80"</f>
        <v>ALST-80</v>
      </c>
      <c r="D6650" t="s">
        <v>6724</v>
      </c>
      <c r="E6650" t="s">
        <v>4</v>
      </c>
      <c r="F6650">
        <v>17.600000000000001</v>
      </c>
      <c r="H6650" t="s">
        <v>5</v>
      </c>
      <c r="I6650" s="1">
        <v>70.23</v>
      </c>
      <c r="J6650" s="1">
        <v>66.89</v>
      </c>
      <c r="K6650" t="s">
        <v>6</v>
      </c>
    </row>
    <row r="6651" spans="1:12">
      <c r="A6651" t="s">
        <v>6691</v>
      </c>
      <c r="B6651">
        <v>504975</v>
      </c>
      <c r="C6651" s="2" t="str">
        <f>"ALXP-1013"</f>
        <v>ALXP-1013</v>
      </c>
      <c r="D6651" t="s">
        <v>6725</v>
      </c>
      <c r="E6651" t="s">
        <v>4</v>
      </c>
      <c r="F6651">
        <v>21.6</v>
      </c>
      <c r="H6651" t="s">
        <v>5</v>
      </c>
      <c r="I6651" s="1">
        <v>90.09</v>
      </c>
      <c r="J6651" s="1">
        <v>85.8</v>
      </c>
      <c r="K6651" t="s">
        <v>6</v>
      </c>
    </row>
    <row r="6652" spans="1:12">
      <c r="A6652" t="s">
        <v>6691</v>
      </c>
      <c r="B6652">
        <v>507097</v>
      </c>
      <c r="C6652" s="2" t="str">
        <f>"ALXP-1318"</f>
        <v>ALXP-1318</v>
      </c>
      <c r="D6652" t="s">
        <v>6726</v>
      </c>
      <c r="E6652" t="s">
        <v>4</v>
      </c>
      <c r="F6652">
        <v>22</v>
      </c>
      <c r="H6652" t="s">
        <v>5</v>
      </c>
      <c r="I6652" s="1">
        <v>55.53</v>
      </c>
      <c r="J6652" s="1">
        <v>52.88</v>
      </c>
      <c r="K6652" t="s">
        <v>6</v>
      </c>
    </row>
    <row r="6653" spans="1:12">
      <c r="A6653" t="s">
        <v>6691</v>
      </c>
      <c r="B6653">
        <v>504980</v>
      </c>
      <c r="C6653" s="2" t="str">
        <f>"ALXP-1826"</f>
        <v>ALXP-1826</v>
      </c>
      <c r="D6653" t="s">
        <v>6727</v>
      </c>
      <c r="E6653" t="s">
        <v>4</v>
      </c>
      <c r="F6653">
        <v>36</v>
      </c>
      <c r="H6653" t="s">
        <v>5</v>
      </c>
      <c r="I6653" s="1">
        <v>90.09</v>
      </c>
      <c r="J6653" s="1">
        <v>85.8</v>
      </c>
      <c r="K6653" t="s">
        <v>6</v>
      </c>
    </row>
    <row r="6654" spans="1:12">
      <c r="A6654" t="s">
        <v>6691</v>
      </c>
      <c r="B6654">
        <v>504982</v>
      </c>
      <c r="C6654" s="2" t="str">
        <f>"ALXP-2618H"</f>
        <v>ALXP-2618H</v>
      </c>
      <c r="D6654" t="s">
        <v>6728</v>
      </c>
      <c r="E6654" t="s">
        <v>4</v>
      </c>
      <c r="F6654">
        <v>38</v>
      </c>
      <c r="H6654" t="s">
        <v>5</v>
      </c>
      <c r="I6654" s="1">
        <v>140.05000000000001</v>
      </c>
      <c r="J6654" s="1">
        <v>133.38</v>
      </c>
      <c r="K6654" t="s">
        <v>6</v>
      </c>
    </row>
    <row r="6655" spans="1:12">
      <c r="A6655" t="s">
        <v>6691</v>
      </c>
      <c r="B6655">
        <v>504984</v>
      </c>
      <c r="C6655" s="2" t="str">
        <f>"APS-20"</f>
        <v>APS-20</v>
      </c>
      <c r="D6655" t="s">
        <v>6729</v>
      </c>
      <c r="E6655" t="s">
        <v>4</v>
      </c>
      <c r="F6655">
        <v>15</v>
      </c>
      <c r="H6655" t="s">
        <v>5</v>
      </c>
      <c r="I6655" s="1">
        <v>70.709999999999994</v>
      </c>
      <c r="J6655" s="1">
        <v>67.34</v>
      </c>
      <c r="K6655" t="s">
        <v>6</v>
      </c>
    </row>
    <row r="6656" spans="1:12">
      <c r="A6656" t="s">
        <v>6691</v>
      </c>
      <c r="B6656">
        <v>504840</v>
      </c>
      <c r="C6656" s="2" t="str">
        <f>"ASP-1"</f>
        <v>ASP-1</v>
      </c>
      <c r="D6656" t="s">
        <v>6730</v>
      </c>
      <c r="E6656" t="s">
        <v>4</v>
      </c>
      <c r="F6656">
        <v>14.4</v>
      </c>
      <c r="G6656">
        <v>1.2</v>
      </c>
      <c r="H6656" t="s">
        <v>106</v>
      </c>
      <c r="I6656" s="1">
        <v>6.55</v>
      </c>
      <c r="J6656" s="1">
        <v>6.24</v>
      </c>
      <c r="K6656" t="s">
        <v>457</v>
      </c>
      <c r="L6656" s="1">
        <v>6.86</v>
      </c>
    </row>
    <row r="6657" spans="1:12">
      <c r="A6657" t="s">
        <v>6691</v>
      </c>
      <c r="B6657">
        <v>504841</v>
      </c>
      <c r="C6657" s="2" t="str">
        <f>"ASP-10"</f>
        <v>ASP-10</v>
      </c>
      <c r="D6657" t="s">
        <v>6731</v>
      </c>
      <c r="E6657" t="s">
        <v>4</v>
      </c>
      <c r="F6657">
        <v>22.8</v>
      </c>
      <c r="G6657">
        <v>3.8</v>
      </c>
      <c r="H6657" t="s">
        <v>20</v>
      </c>
      <c r="I6657" s="1">
        <v>17.68</v>
      </c>
      <c r="J6657" s="1">
        <v>16.84</v>
      </c>
      <c r="K6657" t="s">
        <v>457</v>
      </c>
      <c r="L6657" s="1">
        <v>18.52</v>
      </c>
    </row>
    <row r="6658" spans="1:12">
      <c r="A6658" t="s">
        <v>6691</v>
      </c>
      <c r="B6658">
        <v>504842</v>
      </c>
      <c r="C6658" s="2" t="str">
        <f>"ASP-10C"</f>
        <v>ASP-10C</v>
      </c>
      <c r="D6658" t="s">
        <v>6732</v>
      </c>
      <c r="E6658" t="s">
        <v>4</v>
      </c>
      <c r="F6658">
        <v>9.6</v>
      </c>
      <c r="G6658">
        <v>0.8</v>
      </c>
      <c r="H6658" t="s">
        <v>106</v>
      </c>
      <c r="I6658" s="1">
        <v>6.07</v>
      </c>
      <c r="J6658" s="1">
        <v>5.79</v>
      </c>
      <c r="K6658" t="s">
        <v>457</v>
      </c>
      <c r="L6658" s="1">
        <v>6.36</v>
      </c>
    </row>
    <row r="6659" spans="1:12">
      <c r="A6659" t="s">
        <v>6691</v>
      </c>
      <c r="B6659">
        <v>504843</v>
      </c>
      <c r="C6659" s="2" t="str">
        <f>"ASP-1C"</f>
        <v>ASP-1C</v>
      </c>
      <c r="D6659" t="s">
        <v>6733</v>
      </c>
      <c r="E6659" t="s">
        <v>4</v>
      </c>
      <c r="F6659">
        <v>4.2</v>
      </c>
      <c r="G6659">
        <v>0.35</v>
      </c>
      <c r="H6659" t="s">
        <v>106</v>
      </c>
      <c r="I6659" s="1">
        <v>2.17</v>
      </c>
      <c r="J6659" s="1">
        <v>2.0699999999999998</v>
      </c>
      <c r="K6659" t="s">
        <v>457</v>
      </c>
      <c r="L6659" s="1">
        <v>2.27</v>
      </c>
    </row>
    <row r="6660" spans="1:12">
      <c r="A6660" t="s">
        <v>6691</v>
      </c>
      <c r="B6660">
        <v>504844</v>
      </c>
      <c r="C6660" s="2" t="str">
        <f>"ASP-2"</f>
        <v>ASP-2</v>
      </c>
      <c r="D6660" t="s">
        <v>6734</v>
      </c>
      <c r="E6660" t="s">
        <v>4</v>
      </c>
      <c r="F6660">
        <v>19.440000000000001</v>
      </c>
      <c r="G6660">
        <v>1.62</v>
      </c>
      <c r="H6660" t="s">
        <v>106</v>
      </c>
      <c r="I6660" s="1">
        <v>8.26</v>
      </c>
      <c r="J6660" s="1">
        <v>7.87</v>
      </c>
      <c r="K6660" t="s">
        <v>457</v>
      </c>
      <c r="L6660" s="1">
        <v>8.65</v>
      </c>
    </row>
    <row r="6661" spans="1:12">
      <c r="A6661" t="s">
        <v>6691</v>
      </c>
      <c r="B6661">
        <v>504845</v>
      </c>
      <c r="C6661" s="2" t="str">
        <f>"ASP-2C"</f>
        <v>ASP-2C</v>
      </c>
      <c r="D6661" t="s">
        <v>6735</v>
      </c>
      <c r="E6661" t="s">
        <v>4</v>
      </c>
      <c r="F6661">
        <v>5.16</v>
      </c>
      <c r="G6661">
        <v>0.43</v>
      </c>
      <c r="H6661" t="s">
        <v>106</v>
      </c>
      <c r="I6661" s="1">
        <v>2.63</v>
      </c>
      <c r="J6661" s="1">
        <v>2.5099999999999998</v>
      </c>
      <c r="K6661" t="s">
        <v>457</v>
      </c>
      <c r="L6661" s="1">
        <v>2.76</v>
      </c>
    </row>
    <row r="6662" spans="1:12">
      <c r="A6662" t="s">
        <v>6691</v>
      </c>
      <c r="B6662">
        <v>504846</v>
      </c>
      <c r="C6662" s="2" t="str">
        <f>"ASP-3"</f>
        <v>ASP-3</v>
      </c>
      <c r="D6662" t="s">
        <v>6736</v>
      </c>
      <c r="E6662" t="s">
        <v>4</v>
      </c>
      <c r="F6662">
        <v>26.4</v>
      </c>
      <c r="G6662">
        <v>2.2000000000000002</v>
      </c>
      <c r="H6662" t="s">
        <v>106</v>
      </c>
      <c r="I6662" s="1">
        <v>9.2100000000000009</v>
      </c>
      <c r="J6662" s="1">
        <v>8.7799999999999994</v>
      </c>
      <c r="K6662" t="s">
        <v>457</v>
      </c>
      <c r="L6662" s="1">
        <v>9.65</v>
      </c>
    </row>
    <row r="6663" spans="1:12">
      <c r="A6663" t="s">
        <v>6691</v>
      </c>
      <c r="B6663">
        <v>504847</v>
      </c>
      <c r="C6663" s="2" t="str">
        <f>"ASP-3C"</f>
        <v>ASP-3C</v>
      </c>
      <c r="D6663" t="s">
        <v>6737</v>
      </c>
      <c r="E6663" t="s">
        <v>4</v>
      </c>
      <c r="F6663">
        <v>5.88</v>
      </c>
      <c r="G6663">
        <v>0.49</v>
      </c>
      <c r="H6663" t="s">
        <v>106</v>
      </c>
      <c r="I6663" s="1">
        <v>2.87</v>
      </c>
      <c r="J6663" s="1">
        <v>2.73</v>
      </c>
      <c r="K6663" t="s">
        <v>457</v>
      </c>
      <c r="L6663" s="1">
        <v>3</v>
      </c>
    </row>
    <row r="6664" spans="1:12">
      <c r="A6664" t="s">
        <v>6691</v>
      </c>
      <c r="B6664">
        <v>504848</v>
      </c>
      <c r="C6664" s="2" t="str">
        <f>"ASP-4"</f>
        <v>ASP-4</v>
      </c>
      <c r="D6664" t="s">
        <v>6738</v>
      </c>
      <c r="E6664" t="s">
        <v>4</v>
      </c>
      <c r="F6664">
        <v>32.4</v>
      </c>
      <c r="G6664">
        <v>2.7</v>
      </c>
      <c r="H6664" t="s">
        <v>106</v>
      </c>
      <c r="I6664" s="1">
        <v>10.78</v>
      </c>
      <c r="J6664" s="1">
        <v>10.27</v>
      </c>
      <c r="K6664" t="s">
        <v>457</v>
      </c>
      <c r="L6664" s="1">
        <v>11.3</v>
      </c>
    </row>
    <row r="6665" spans="1:12">
      <c r="A6665" t="s">
        <v>6691</v>
      </c>
      <c r="B6665">
        <v>506273</v>
      </c>
      <c r="C6665" s="2" t="str">
        <f>"ASP-4C"</f>
        <v>ASP-4C</v>
      </c>
      <c r="D6665" t="s">
        <v>6739</v>
      </c>
      <c r="E6665" t="s">
        <v>4</v>
      </c>
      <c r="F6665">
        <v>6.96</v>
      </c>
      <c r="G6665">
        <v>0.57999999999999996</v>
      </c>
      <c r="H6665" t="s">
        <v>106</v>
      </c>
      <c r="I6665" s="1">
        <v>3.62</v>
      </c>
      <c r="J6665" s="1">
        <v>3.45</v>
      </c>
      <c r="K6665" t="s">
        <v>457</v>
      </c>
      <c r="L6665" s="1">
        <v>3.79</v>
      </c>
    </row>
    <row r="6666" spans="1:12">
      <c r="A6666" t="s">
        <v>6691</v>
      </c>
      <c r="B6666">
        <v>504850</v>
      </c>
      <c r="C6666" s="2" t="str">
        <f>"ASP-5"</f>
        <v>ASP-5</v>
      </c>
      <c r="D6666" t="s">
        <v>6740</v>
      </c>
      <c r="E6666" t="s">
        <v>4</v>
      </c>
      <c r="F6666">
        <v>33.6</v>
      </c>
      <c r="G6666">
        <v>2.8</v>
      </c>
      <c r="H6666" t="s">
        <v>106</v>
      </c>
      <c r="I6666" s="1">
        <v>12.15</v>
      </c>
      <c r="J6666" s="1">
        <v>11.57</v>
      </c>
      <c r="K6666" t="s">
        <v>457</v>
      </c>
      <c r="L6666" s="1">
        <v>12.73</v>
      </c>
    </row>
    <row r="6667" spans="1:12">
      <c r="A6667" t="s">
        <v>6691</v>
      </c>
      <c r="B6667">
        <v>504851</v>
      </c>
      <c r="C6667" s="2" t="str">
        <f>"ASP-5C"</f>
        <v>ASP-5C</v>
      </c>
      <c r="D6667" t="s">
        <v>6741</v>
      </c>
      <c r="E6667" t="s">
        <v>4</v>
      </c>
      <c r="F6667">
        <v>7.08</v>
      </c>
      <c r="G6667">
        <v>0.59</v>
      </c>
      <c r="H6667" t="s">
        <v>106</v>
      </c>
      <c r="I6667" s="1">
        <v>3.82</v>
      </c>
      <c r="J6667" s="1">
        <v>3.64</v>
      </c>
      <c r="K6667" t="s">
        <v>457</v>
      </c>
      <c r="L6667" s="1">
        <v>4</v>
      </c>
    </row>
    <row r="6668" spans="1:12">
      <c r="A6668" t="s">
        <v>6691</v>
      </c>
      <c r="B6668">
        <v>504985</v>
      </c>
      <c r="C6668" s="2" t="str">
        <f>"ASSP-08"</f>
        <v>ASSP-08</v>
      </c>
      <c r="D6668" t="s">
        <v>6742</v>
      </c>
      <c r="E6668" t="s">
        <v>4</v>
      </c>
      <c r="F6668">
        <v>4.4000000000000004</v>
      </c>
      <c r="H6668" t="s">
        <v>5</v>
      </c>
      <c r="I6668" s="1">
        <v>19.04</v>
      </c>
      <c r="J6668" s="1">
        <v>18.14</v>
      </c>
      <c r="K6668" t="s">
        <v>6</v>
      </c>
    </row>
    <row r="6669" spans="1:12">
      <c r="A6669" t="s">
        <v>6691</v>
      </c>
      <c r="B6669">
        <v>504854</v>
      </c>
      <c r="C6669" s="2" t="str">
        <f>"ASSP-08C"</f>
        <v>ASSP-08C</v>
      </c>
      <c r="D6669" t="s">
        <v>6743</v>
      </c>
      <c r="E6669" t="s">
        <v>4</v>
      </c>
      <c r="F6669">
        <v>4.9800000000000004</v>
      </c>
      <c r="G6669">
        <v>0.83</v>
      </c>
      <c r="H6669" t="s">
        <v>20</v>
      </c>
      <c r="I6669" s="1">
        <v>3.29</v>
      </c>
      <c r="J6669" s="1">
        <v>3.13</v>
      </c>
      <c r="K6669" t="s">
        <v>457</v>
      </c>
      <c r="L6669" s="1">
        <v>3.45</v>
      </c>
    </row>
    <row r="6670" spans="1:12">
      <c r="A6670" t="s">
        <v>6691</v>
      </c>
      <c r="B6670">
        <v>504986</v>
      </c>
      <c r="C6670" s="2" t="str">
        <f>"ASSP-14"</f>
        <v>ASSP-14</v>
      </c>
      <c r="D6670" t="s">
        <v>6744</v>
      </c>
      <c r="E6670" t="s">
        <v>4</v>
      </c>
      <c r="F6670">
        <v>7.2</v>
      </c>
      <c r="H6670" t="s">
        <v>5</v>
      </c>
      <c r="I6670" s="1">
        <v>25.25</v>
      </c>
      <c r="J6670" s="1">
        <v>24.05</v>
      </c>
      <c r="K6670" t="s">
        <v>6</v>
      </c>
    </row>
    <row r="6671" spans="1:12">
      <c r="A6671" t="s">
        <v>6691</v>
      </c>
      <c r="B6671">
        <v>504856</v>
      </c>
      <c r="C6671" s="2" t="str">
        <f>"ASSP-14C"</f>
        <v>ASSP-14C</v>
      </c>
      <c r="D6671" t="s">
        <v>6745</v>
      </c>
      <c r="E6671" t="s">
        <v>4</v>
      </c>
      <c r="F6671">
        <v>7.2</v>
      </c>
      <c r="G6671">
        <v>1.2</v>
      </c>
      <c r="H6671" t="s">
        <v>20</v>
      </c>
      <c r="I6671" s="1">
        <v>3.75</v>
      </c>
      <c r="J6671" s="1">
        <v>3.58</v>
      </c>
      <c r="K6671" t="s">
        <v>457</v>
      </c>
      <c r="L6671" s="1">
        <v>3.93</v>
      </c>
    </row>
    <row r="6672" spans="1:12">
      <c r="A6672" t="s">
        <v>6691</v>
      </c>
      <c r="B6672">
        <v>504987</v>
      </c>
      <c r="C6672" s="2" t="str">
        <f>"ASSP-20"</f>
        <v>ASSP-20</v>
      </c>
      <c r="D6672" t="s">
        <v>6746</v>
      </c>
      <c r="E6672" t="s">
        <v>4</v>
      </c>
      <c r="F6672">
        <v>8</v>
      </c>
      <c r="H6672" t="s">
        <v>5</v>
      </c>
      <c r="I6672" s="1">
        <v>29.14</v>
      </c>
      <c r="J6672" s="1">
        <v>27.76</v>
      </c>
      <c r="K6672" t="s">
        <v>6</v>
      </c>
    </row>
    <row r="6673" spans="1:12">
      <c r="A6673" t="s">
        <v>6691</v>
      </c>
      <c r="B6673">
        <v>504857</v>
      </c>
      <c r="C6673" s="2" t="str">
        <f>"ASSP-20C"</f>
        <v>ASSP-20C</v>
      </c>
      <c r="D6673" t="s">
        <v>6747</v>
      </c>
      <c r="E6673" t="s">
        <v>4</v>
      </c>
      <c r="F6673">
        <v>9.42</v>
      </c>
      <c r="G6673">
        <v>1.57</v>
      </c>
      <c r="H6673" t="s">
        <v>20</v>
      </c>
      <c r="I6673" s="1">
        <v>4.16</v>
      </c>
      <c r="J6673" s="1">
        <v>3.97</v>
      </c>
      <c r="K6673" t="s">
        <v>457</v>
      </c>
      <c r="L6673" s="1">
        <v>4.3600000000000003</v>
      </c>
    </row>
    <row r="6674" spans="1:12">
      <c r="A6674" t="s">
        <v>6691</v>
      </c>
      <c r="B6674">
        <v>504988</v>
      </c>
      <c r="C6674" s="2" t="str">
        <f>"C-3080B"</f>
        <v>C-3080B</v>
      </c>
      <c r="D6674" t="s">
        <v>6748</v>
      </c>
      <c r="E6674" t="s">
        <v>4</v>
      </c>
      <c r="F6674">
        <v>13.6</v>
      </c>
      <c r="H6674" t="s">
        <v>5</v>
      </c>
      <c r="I6674" s="1">
        <v>44.36</v>
      </c>
      <c r="J6674" s="1">
        <v>42.25</v>
      </c>
      <c r="K6674" t="s">
        <v>6</v>
      </c>
    </row>
    <row r="6675" spans="1:12">
      <c r="A6675" t="s">
        <v>6691</v>
      </c>
      <c r="B6675">
        <v>504989</v>
      </c>
      <c r="C6675" s="2" t="str">
        <f>"C-5080"</f>
        <v>C-5080</v>
      </c>
      <c r="D6675" t="s">
        <v>6749</v>
      </c>
      <c r="E6675" t="s">
        <v>4</v>
      </c>
      <c r="F6675">
        <v>23.8</v>
      </c>
      <c r="H6675" t="s">
        <v>5</v>
      </c>
      <c r="I6675" s="1">
        <v>118.07</v>
      </c>
      <c r="J6675" s="1">
        <v>112.45</v>
      </c>
      <c r="K6675" t="s">
        <v>6</v>
      </c>
    </row>
    <row r="6676" spans="1:12">
      <c r="A6676" t="s">
        <v>6691</v>
      </c>
      <c r="B6676">
        <v>504990</v>
      </c>
      <c r="C6676" s="2" t="str">
        <f>"C-6080"</f>
        <v>C-6080</v>
      </c>
      <c r="D6676" t="s">
        <v>6750</v>
      </c>
      <c r="E6676" t="s">
        <v>4</v>
      </c>
      <c r="F6676">
        <v>25</v>
      </c>
      <c r="H6676" t="s">
        <v>5</v>
      </c>
      <c r="I6676" s="1">
        <v>90.43</v>
      </c>
      <c r="J6676" s="1">
        <v>86.13</v>
      </c>
      <c r="K6676" t="s">
        <v>6</v>
      </c>
    </row>
    <row r="6677" spans="1:12">
      <c r="A6677" t="s">
        <v>6691</v>
      </c>
      <c r="B6677">
        <v>516749</v>
      </c>
      <c r="C6677" s="2" t="str">
        <f>"CGS-38K"</f>
        <v>CGS-38K</v>
      </c>
      <c r="D6677" t="s">
        <v>6751</v>
      </c>
      <c r="E6677" t="s">
        <v>4</v>
      </c>
      <c r="F6677">
        <v>50.71</v>
      </c>
      <c r="H6677" t="s">
        <v>5</v>
      </c>
      <c r="I6677" s="1">
        <v>76.44</v>
      </c>
      <c r="J6677" s="1">
        <v>72.8</v>
      </c>
      <c r="K6677" t="s">
        <v>6</v>
      </c>
    </row>
    <row r="6678" spans="1:12">
      <c r="A6678" t="s">
        <v>6691</v>
      </c>
      <c r="B6678">
        <v>504991</v>
      </c>
      <c r="C6678" s="2" t="str">
        <f>"CHH-101"</f>
        <v>CHH-101</v>
      </c>
      <c r="D6678" t="s">
        <v>6752</v>
      </c>
      <c r="E6678" t="s">
        <v>4</v>
      </c>
      <c r="F6678">
        <v>15</v>
      </c>
      <c r="H6678" t="s">
        <v>5</v>
      </c>
      <c r="I6678" s="1">
        <v>30.93</v>
      </c>
      <c r="J6678" s="1">
        <v>29.46</v>
      </c>
      <c r="K6678" t="s">
        <v>6</v>
      </c>
    </row>
    <row r="6679" spans="1:12">
      <c r="A6679" t="s">
        <v>6691</v>
      </c>
      <c r="B6679">
        <v>504992</v>
      </c>
      <c r="C6679" s="2" t="str">
        <f>"CHH-103"</f>
        <v>CHH-103</v>
      </c>
      <c r="D6679" t="s">
        <v>6753</v>
      </c>
      <c r="E6679" t="s">
        <v>4</v>
      </c>
      <c r="F6679">
        <v>15</v>
      </c>
      <c r="H6679" t="s">
        <v>5</v>
      </c>
      <c r="I6679" s="1">
        <v>30.93</v>
      </c>
      <c r="J6679" s="1">
        <v>29.46</v>
      </c>
      <c r="K6679" t="s">
        <v>6</v>
      </c>
    </row>
    <row r="6680" spans="1:12">
      <c r="A6680" t="s">
        <v>6691</v>
      </c>
      <c r="B6680">
        <v>504993</v>
      </c>
      <c r="C6680" s="2" t="str">
        <f>"CHH-104"</f>
        <v>CHH-104</v>
      </c>
      <c r="D6680" t="s">
        <v>6754</v>
      </c>
      <c r="E6680" t="s">
        <v>4</v>
      </c>
      <c r="F6680">
        <v>15</v>
      </c>
      <c r="H6680" t="s">
        <v>5</v>
      </c>
      <c r="I6680" s="1">
        <v>32.299999999999997</v>
      </c>
      <c r="J6680" s="1">
        <v>30.76</v>
      </c>
      <c r="K6680" t="s">
        <v>6</v>
      </c>
    </row>
    <row r="6681" spans="1:12">
      <c r="A6681" t="s">
        <v>6691</v>
      </c>
      <c r="B6681">
        <v>504859</v>
      </c>
      <c r="C6681" s="2" t="str">
        <f>"GP-1"</f>
        <v>GP-1</v>
      </c>
      <c r="D6681" t="s">
        <v>6755</v>
      </c>
      <c r="E6681" t="s">
        <v>4</v>
      </c>
      <c r="F6681">
        <v>5.4</v>
      </c>
      <c r="G6681">
        <v>0.45</v>
      </c>
      <c r="H6681" t="s">
        <v>106</v>
      </c>
      <c r="I6681" s="1">
        <v>4.2699999999999996</v>
      </c>
      <c r="J6681" s="1">
        <v>4.07</v>
      </c>
      <c r="K6681" t="s">
        <v>457</v>
      </c>
      <c r="L6681" s="1">
        <v>4.4800000000000004</v>
      </c>
    </row>
    <row r="6682" spans="1:12">
      <c r="A6682" t="s">
        <v>6691</v>
      </c>
      <c r="B6682">
        <v>507484</v>
      </c>
      <c r="C6682" s="2" t="str">
        <f>"KC-301"</f>
        <v>KC-301</v>
      </c>
      <c r="D6682" t="s">
        <v>6756</v>
      </c>
      <c r="E6682" t="s">
        <v>4</v>
      </c>
      <c r="F6682">
        <v>1.08</v>
      </c>
      <c r="H6682" t="s">
        <v>5</v>
      </c>
      <c r="I6682" s="1">
        <v>5.58</v>
      </c>
      <c r="J6682" s="1">
        <v>5.32</v>
      </c>
      <c r="K6682" t="s">
        <v>6</v>
      </c>
    </row>
    <row r="6683" spans="1:12">
      <c r="A6683" t="s">
        <v>6691</v>
      </c>
      <c r="B6683">
        <v>504860</v>
      </c>
      <c r="C6683" s="2" t="str">
        <f>"LC-01"</f>
        <v>LC-01</v>
      </c>
      <c r="D6683" t="s">
        <v>6757</v>
      </c>
      <c r="E6683" t="s">
        <v>4</v>
      </c>
      <c r="F6683">
        <v>4.32</v>
      </c>
      <c r="G6683">
        <v>0.36</v>
      </c>
      <c r="H6683" t="s">
        <v>106</v>
      </c>
      <c r="I6683" s="1">
        <v>2.58</v>
      </c>
      <c r="J6683" s="1">
        <v>2.46</v>
      </c>
      <c r="K6683" t="s">
        <v>457</v>
      </c>
      <c r="L6683" s="1">
        <v>2.7</v>
      </c>
    </row>
    <row r="6684" spans="1:12">
      <c r="A6684" t="s">
        <v>6691</v>
      </c>
      <c r="B6684">
        <v>504861</v>
      </c>
      <c r="C6684" s="2" t="str">
        <f>"LC-03"</f>
        <v>LC-03</v>
      </c>
      <c r="D6684" t="s">
        <v>6758</v>
      </c>
      <c r="E6684" t="s">
        <v>4</v>
      </c>
      <c r="F6684">
        <v>3.24</v>
      </c>
      <c r="G6684">
        <v>0.27</v>
      </c>
      <c r="H6684" t="s">
        <v>106</v>
      </c>
      <c r="I6684" s="1">
        <v>1.41</v>
      </c>
      <c r="J6684" s="1">
        <v>1.34</v>
      </c>
      <c r="K6684" t="s">
        <v>457</v>
      </c>
      <c r="L6684" s="1">
        <v>1.47</v>
      </c>
    </row>
    <row r="6685" spans="1:12">
      <c r="A6685" t="s">
        <v>6691</v>
      </c>
      <c r="B6685">
        <v>504863</v>
      </c>
      <c r="C6685" s="2" t="str">
        <f>"LED-10"</f>
        <v>LED-10</v>
      </c>
      <c r="D6685" t="s">
        <v>6759</v>
      </c>
      <c r="E6685" t="s">
        <v>4</v>
      </c>
      <c r="F6685">
        <v>32.5</v>
      </c>
      <c r="G6685">
        <v>6.5</v>
      </c>
      <c r="H6685" t="s">
        <v>151</v>
      </c>
      <c r="I6685" s="1">
        <v>66.819999999999993</v>
      </c>
      <c r="J6685" s="1">
        <v>63.64</v>
      </c>
      <c r="K6685" t="s">
        <v>457</v>
      </c>
      <c r="L6685" s="1">
        <v>70</v>
      </c>
    </row>
    <row r="6686" spans="1:12">
      <c r="A6686" t="s">
        <v>6691</v>
      </c>
      <c r="B6686">
        <v>504864</v>
      </c>
      <c r="C6686" s="2" t="str">
        <f>"LED-11"</f>
        <v>LED-11</v>
      </c>
      <c r="D6686" t="s">
        <v>6760</v>
      </c>
      <c r="E6686" t="s">
        <v>4</v>
      </c>
      <c r="F6686">
        <v>35.65</v>
      </c>
      <c r="G6686">
        <v>7.13</v>
      </c>
      <c r="H6686" t="s">
        <v>151</v>
      </c>
      <c r="I6686" s="1">
        <v>78.83</v>
      </c>
      <c r="J6686" s="1">
        <v>75.08</v>
      </c>
      <c r="K6686" t="s">
        <v>457</v>
      </c>
      <c r="L6686" s="1">
        <v>82.58</v>
      </c>
    </row>
    <row r="6687" spans="1:12">
      <c r="A6687" t="s">
        <v>6691</v>
      </c>
      <c r="B6687">
        <v>504865</v>
      </c>
      <c r="C6687" s="2" t="str">
        <f>"MDL-15"</f>
        <v>MDL-15</v>
      </c>
      <c r="D6687" t="s">
        <v>6761</v>
      </c>
      <c r="E6687" t="s">
        <v>4</v>
      </c>
      <c r="F6687">
        <v>32</v>
      </c>
      <c r="G6687">
        <v>4</v>
      </c>
      <c r="H6687" t="s">
        <v>1456</v>
      </c>
      <c r="I6687" s="1">
        <v>54.53</v>
      </c>
      <c r="J6687" s="1">
        <v>51.94</v>
      </c>
      <c r="K6687" t="s">
        <v>457</v>
      </c>
      <c r="L6687" s="1">
        <v>57.13</v>
      </c>
    </row>
    <row r="6688" spans="1:12">
      <c r="A6688" t="s">
        <v>6691</v>
      </c>
      <c r="B6688">
        <v>509289</v>
      </c>
      <c r="C6688" s="2" t="str">
        <f>"MH-2"</f>
        <v>MH-2</v>
      </c>
      <c r="D6688" t="s">
        <v>6762</v>
      </c>
      <c r="E6688" t="s">
        <v>4</v>
      </c>
      <c r="F6688">
        <v>1.76</v>
      </c>
      <c r="H6688" t="s">
        <v>5</v>
      </c>
      <c r="I6688" s="1">
        <v>13.16</v>
      </c>
      <c r="J6688" s="1">
        <v>12.53</v>
      </c>
      <c r="K6688" t="s">
        <v>6</v>
      </c>
    </row>
    <row r="6689" spans="1:12">
      <c r="A6689" t="s">
        <v>6691</v>
      </c>
      <c r="B6689">
        <v>504866</v>
      </c>
      <c r="C6689" s="2" t="str">
        <f>"OM-13"</f>
        <v>OM-13</v>
      </c>
      <c r="D6689" t="s">
        <v>6763</v>
      </c>
      <c r="E6689" t="s">
        <v>4</v>
      </c>
      <c r="F6689">
        <v>1.92</v>
      </c>
      <c r="G6689">
        <v>0.16</v>
      </c>
      <c r="H6689" t="s">
        <v>106</v>
      </c>
      <c r="I6689" s="1">
        <v>1.58</v>
      </c>
      <c r="J6689" s="1">
        <v>1.51</v>
      </c>
      <c r="K6689" t="s">
        <v>457</v>
      </c>
      <c r="L6689" s="1">
        <v>1.66</v>
      </c>
    </row>
    <row r="6690" spans="1:12">
      <c r="A6690" t="s">
        <v>6691</v>
      </c>
      <c r="B6690">
        <v>538938</v>
      </c>
      <c r="C6690" s="2" t="str">
        <f>"PL-3"</f>
        <v>PL-3</v>
      </c>
      <c r="D6690" t="s">
        <v>6764</v>
      </c>
      <c r="E6690" t="s">
        <v>4</v>
      </c>
      <c r="F6690">
        <v>24.36</v>
      </c>
      <c r="G6690">
        <v>4.0599999999999996</v>
      </c>
      <c r="H6690" t="s">
        <v>20</v>
      </c>
      <c r="I6690" s="1">
        <v>11.6</v>
      </c>
      <c r="J6690" s="1">
        <v>11.05</v>
      </c>
      <c r="K6690" t="s">
        <v>21</v>
      </c>
      <c r="L6690" s="1">
        <v>12.16</v>
      </c>
    </row>
    <row r="6691" spans="1:12">
      <c r="A6691" t="s">
        <v>6691</v>
      </c>
      <c r="B6691">
        <v>538939</v>
      </c>
      <c r="C6691" s="2" t="str">
        <f>"PL-36C"</f>
        <v>PL-36C</v>
      </c>
      <c r="D6691" t="s">
        <v>6765</v>
      </c>
      <c r="E6691" t="s">
        <v>4</v>
      </c>
      <c r="F6691">
        <v>26.16</v>
      </c>
      <c r="G6691">
        <v>2.1800000000000002</v>
      </c>
      <c r="H6691" t="s">
        <v>106</v>
      </c>
      <c r="I6691" s="1">
        <v>7.85</v>
      </c>
      <c r="J6691" s="1">
        <v>7.48</v>
      </c>
      <c r="K6691" t="s">
        <v>21</v>
      </c>
      <c r="L6691" s="1">
        <v>8.2200000000000006</v>
      </c>
    </row>
    <row r="6692" spans="1:12">
      <c r="A6692" t="s">
        <v>6691</v>
      </c>
      <c r="B6692">
        <v>505004</v>
      </c>
      <c r="C6692" s="2" t="str">
        <f>"PMC-14K"</f>
        <v>PMC-14K</v>
      </c>
      <c r="D6692" t="s">
        <v>6766</v>
      </c>
      <c r="E6692" t="s">
        <v>4</v>
      </c>
      <c r="F6692">
        <v>4.75</v>
      </c>
      <c r="H6692" t="s">
        <v>5</v>
      </c>
      <c r="I6692" s="1">
        <v>33.78</v>
      </c>
      <c r="J6692" s="1">
        <v>32.18</v>
      </c>
      <c r="K6692" t="s">
        <v>6</v>
      </c>
    </row>
    <row r="6693" spans="1:12">
      <c r="A6693" t="s">
        <v>6691</v>
      </c>
      <c r="B6693">
        <v>505005</v>
      </c>
      <c r="C6693" s="2" t="str">
        <f>"PMC-5K"</f>
        <v>PMC-5K</v>
      </c>
      <c r="D6693" t="s">
        <v>6767</v>
      </c>
      <c r="E6693" t="s">
        <v>4</v>
      </c>
      <c r="F6693">
        <v>2.17</v>
      </c>
      <c r="H6693" t="s">
        <v>5</v>
      </c>
      <c r="I6693" s="1">
        <v>15.36</v>
      </c>
      <c r="J6693" s="1">
        <v>14.63</v>
      </c>
      <c r="K6693" t="s">
        <v>6</v>
      </c>
    </row>
    <row r="6694" spans="1:12">
      <c r="A6694" t="s">
        <v>6691</v>
      </c>
      <c r="B6694">
        <v>505006</v>
      </c>
      <c r="C6694" s="2" t="str">
        <f>"PMC-9K"</f>
        <v>PMC-9K</v>
      </c>
      <c r="D6694" t="s">
        <v>6768</v>
      </c>
      <c r="E6694" t="s">
        <v>4</v>
      </c>
      <c r="F6694">
        <v>3.85</v>
      </c>
      <c r="H6694" t="s">
        <v>5</v>
      </c>
      <c r="I6694" s="1">
        <v>21.16</v>
      </c>
      <c r="J6694" s="1">
        <v>20.149999999999999</v>
      </c>
      <c r="K6694" t="s">
        <v>6</v>
      </c>
    </row>
    <row r="6695" spans="1:12">
      <c r="A6695" t="s">
        <v>6691</v>
      </c>
      <c r="B6695">
        <v>505008</v>
      </c>
      <c r="C6695" s="2" t="str">
        <f>"PMC-9U"</f>
        <v>PMC-9U</v>
      </c>
      <c r="D6695" t="s">
        <v>6769</v>
      </c>
      <c r="E6695" t="s">
        <v>4</v>
      </c>
      <c r="F6695">
        <v>3.85</v>
      </c>
      <c r="H6695" t="s">
        <v>5</v>
      </c>
      <c r="I6695" s="1">
        <v>21.16</v>
      </c>
      <c r="J6695" s="1">
        <v>20.149999999999999</v>
      </c>
      <c r="K6695" t="s">
        <v>6</v>
      </c>
    </row>
    <row r="6696" spans="1:12">
      <c r="A6696" t="s">
        <v>6691</v>
      </c>
      <c r="B6696">
        <v>505009</v>
      </c>
      <c r="C6696" s="2" t="str">
        <f>"PMCD-9K"</f>
        <v>PMCD-9K</v>
      </c>
      <c r="D6696" t="s">
        <v>6770</v>
      </c>
      <c r="E6696" t="s">
        <v>4</v>
      </c>
      <c r="F6696">
        <v>7.75</v>
      </c>
      <c r="H6696" t="s">
        <v>5</v>
      </c>
      <c r="I6696" s="1">
        <v>34.47</v>
      </c>
      <c r="J6696" s="1">
        <v>32.83</v>
      </c>
      <c r="K6696" t="s">
        <v>6</v>
      </c>
    </row>
    <row r="6697" spans="1:12">
      <c r="A6697" t="s">
        <v>6691</v>
      </c>
      <c r="B6697">
        <v>505010</v>
      </c>
      <c r="C6697" s="2" t="str">
        <f>"PMCD-9U"</f>
        <v>PMCD-9U</v>
      </c>
      <c r="D6697" t="s">
        <v>6771</v>
      </c>
      <c r="E6697" t="s">
        <v>4</v>
      </c>
      <c r="F6697">
        <v>7.75</v>
      </c>
      <c r="H6697" t="s">
        <v>5</v>
      </c>
      <c r="I6697" s="1">
        <v>34.47</v>
      </c>
      <c r="J6697" s="1">
        <v>32.83</v>
      </c>
      <c r="K6697" t="s">
        <v>6</v>
      </c>
    </row>
    <row r="6698" spans="1:12">
      <c r="A6698" t="s">
        <v>6691</v>
      </c>
      <c r="B6698">
        <v>505011</v>
      </c>
      <c r="C6698" s="2" t="str">
        <f>"PMCT-9K"</f>
        <v>PMCT-9K</v>
      </c>
      <c r="D6698" t="s">
        <v>6772</v>
      </c>
      <c r="E6698" t="s">
        <v>4</v>
      </c>
      <c r="F6698">
        <v>11.58</v>
      </c>
      <c r="H6698" t="s">
        <v>5</v>
      </c>
      <c r="I6698" s="1">
        <v>57.33</v>
      </c>
      <c r="J6698" s="1">
        <v>54.6</v>
      </c>
      <c r="K6698" t="s">
        <v>6</v>
      </c>
    </row>
    <row r="6699" spans="1:12">
      <c r="A6699" t="s">
        <v>6691</v>
      </c>
      <c r="B6699">
        <v>504880</v>
      </c>
      <c r="C6699" s="2" t="str">
        <f>"PR-16"</f>
        <v>PR-16</v>
      </c>
      <c r="D6699" t="s">
        <v>6773</v>
      </c>
      <c r="E6699" t="s">
        <v>4</v>
      </c>
      <c r="F6699">
        <v>20.399999999999999</v>
      </c>
      <c r="G6699">
        <v>3.4</v>
      </c>
      <c r="H6699" t="s">
        <v>20</v>
      </c>
      <c r="I6699" s="1">
        <v>42.98</v>
      </c>
      <c r="J6699" s="1">
        <v>40.94</v>
      </c>
      <c r="K6699" t="s">
        <v>457</v>
      </c>
      <c r="L6699" s="1">
        <v>45.03</v>
      </c>
    </row>
    <row r="6700" spans="1:12">
      <c r="A6700" t="s">
        <v>6691</v>
      </c>
      <c r="B6700">
        <v>504891</v>
      </c>
      <c r="C6700" s="2" t="str">
        <f>"PSG-10"</f>
        <v>PSG-10</v>
      </c>
      <c r="D6700" t="s">
        <v>6774</v>
      </c>
      <c r="E6700" t="s">
        <v>4</v>
      </c>
      <c r="F6700">
        <v>1.92</v>
      </c>
      <c r="G6700">
        <v>0.16</v>
      </c>
      <c r="H6700" t="s">
        <v>106</v>
      </c>
      <c r="I6700" s="1">
        <v>2.33</v>
      </c>
      <c r="J6700" s="1">
        <v>2.2200000000000002</v>
      </c>
      <c r="K6700" t="s">
        <v>457</v>
      </c>
      <c r="L6700" s="1">
        <v>2.4500000000000002</v>
      </c>
    </row>
    <row r="6701" spans="1:12">
      <c r="A6701" t="s">
        <v>6691</v>
      </c>
      <c r="B6701">
        <v>504892</v>
      </c>
      <c r="C6701" s="2" t="str">
        <f>"PSG-14"</f>
        <v>PSG-14</v>
      </c>
      <c r="D6701" t="s">
        <v>6775</v>
      </c>
      <c r="E6701" t="s">
        <v>4</v>
      </c>
      <c r="F6701">
        <v>3.48</v>
      </c>
      <c r="G6701">
        <v>0.28999999999999998</v>
      </c>
      <c r="H6701" t="s">
        <v>106</v>
      </c>
      <c r="I6701" s="1">
        <v>3.75</v>
      </c>
      <c r="J6701" s="1">
        <v>3.58</v>
      </c>
      <c r="K6701" t="s">
        <v>457</v>
      </c>
      <c r="L6701" s="1">
        <v>3.93</v>
      </c>
    </row>
    <row r="6702" spans="1:12">
      <c r="A6702" t="s">
        <v>6691</v>
      </c>
      <c r="B6702">
        <v>504893</v>
      </c>
      <c r="C6702" s="2" t="str">
        <f>"PSG-16"</f>
        <v>PSG-16</v>
      </c>
      <c r="D6702" t="s">
        <v>6776</v>
      </c>
      <c r="E6702" t="s">
        <v>4</v>
      </c>
      <c r="F6702">
        <v>3.84</v>
      </c>
      <c r="G6702">
        <v>0.32</v>
      </c>
      <c r="H6702" t="s">
        <v>106</v>
      </c>
      <c r="I6702" s="1">
        <v>4.16</v>
      </c>
      <c r="J6702" s="1">
        <v>3.97</v>
      </c>
      <c r="K6702" t="s">
        <v>457</v>
      </c>
      <c r="L6702" s="1">
        <v>4.3600000000000003</v>
      </c>
    </row>
    <row r="6703" spans="1:12">
      <c r="A6703" t="s">
        <v>6691</v>
      </c>
      <c r="B6703">
        <v>504894</v>
      </c>
      <c r="C6703" s="2" t="str">
        <f>"PSH-10"</f>
        <v>PSH-10</v>
      </c>
      <c r="D6703" t="s">
        <v>6777</v>
      </c>
      <c r="E6703" t="s">
        <v>4</v>
      </c>
      <c r="F6703">
        <v>4.08</v>
      </c>
      <c r="G6703">
        <v>0.17</v>
      </c>
      <c r="H6703" t="s">
        <v>666</v>
      </c>
      <c r="I6703" s="1">
        <v>5.3</v>
      </c>
      <c r="J6703" s="1">
        <v>5.04</v>
      </c>
      <c r="K6703" t="s">
        <v>457</v>
      </c>
      <c r="L6703" s="1">
        <v>5.55</v>
      </c>
    </row>
    <row r="6704" spans="1:12">
      <c r="A6704" t="s">
        <v>6691</v>
      </c>
      <c r="B6704">
        <v>504895</v>
      </c>
      <c r="C6704" s="2" t="str">
        <f>"PSH-14"</f>
        <v>PSH-14</v>
      </c>
      <c r="D6704" t="s">
        <v>6778</v>
      </c>
      <c r="E6704" t="s">
        <v>4</v>
      </c>
      <c r="F6704">
        <v>6</v>
      </c>
      <c r="G6704">
        <v>0.25</v>
      </c>
      <c r="H6704" t="s">
        <v>666</v>
      </c>
      <c r="I6704" s="1">
        <v>6.37</v>
      </c>
      <c r="J6704" s="1">
        <v>6.07</v>
      </c>
      <c r="K6704" t="s">
        <v>457</v>
      </c>
      <c r="L6704" s="1">
        <v>6.68</v>
      </c>
    </row>
    <row r="6705" spans="1:12">
      <c r="A6705" t="s">
        <v>6691</v>
      </c>
      <c r="B6705">
        <v>504896</v>
      </c>
      <c r="C6705" s="2" t="str">
        <f>"PSH-16"</f>
        <v>PSH-16</v>
      </c>
      <c r="D6705" t="s">
        <v>6779</v>
      </c>
      <c r="E6705" t="s">
        <v>4</v>
      </c>
      <c r="F6705">
        <v>6.48</v>
      </c>
      <c r="G6705">
        <v>0.27</v>
      </c>
      <c r="H6705" t="s">
        <v>666</v>
      </c>
      <c r="I6705" s="1">
        <v>6.88</v>
      </c>
      <c r="J6705" s="1">
        <v>6.55</v>
      </c>
      <c r="K6705" t="s">
        <v>457</v>
      </c>
      <c r="L6705" s="1">
        <v>7.21</v>
      </c>
    </row>
    <row r="6706" spans="1:12">
      <c r="A6706" t="s">
        <v>6691</v>
      </c>
      <c r="B6706">
        <v>538169</v>
      </c>
      <c r="C6706" s="2" t="str">
        <f>"RC-P300"</f>
        <v>RC-P300</v>
      </c>
      <c r="D6706" t="s">
        <v>6780</v>
      </c>
      <c r="E6706" t="s">
        <v>4</v>
      </c>
      <c r="F6706">
        <v>18</v>
      </c>
      <c r="H6706" t="s">
        <v>5</v>
      </c>
      <c r="I6706" s="1">
        <v>106.47</v>
      </c>
      <c r="J6706" s="1">
        <v>101.4</v>
      </c>
      <c r="K6706" t="s">
        <v>6</v>
      </c>
    </row>
    <row r="6707" spans="1:12">
      <c r="A6707" t="s">
        <v>6691</v>
      </c>
      <c r="B6707">
        <v>538168</v>
      </c>
      <c r="C6707" s="2" t="str">
        <f>"RC-S300"</f>
        <v>RC-S300</v>
      </c>
      <c r="D6707" t="s">
        <v>6781</v>
      </c>
      <c r="E6707" t="s">
        <v>4</v>
      </c>
      <c r="F6707">
        <v>24</v>
      </c>
      <c r="H6707" t="s">
        <v>5</v>
      </c>
      <c r="I6707" s="1">
        <v>170.63</v>
      </c>
      <c r="J6707" s="1">
        <v>162.5</v>
      </c>
      <c r="K6707" t="s">
        <v>6</v>
      </c>
    </row>
    <row r="6708" spans="1:12">
      <c r="A6708" t="s">
        <v>6691</v>
      </c>
      <c r="B6708">
        <v>504961</v>
      </c>
      <c r="C6708" s="2" t="str">
        <f>"RSB-6"</f>
        <v>RSB-6</v>
      </c>
      <c r="D6708" t="s">
        <v>6782</v>
      </c>
      <c r="E6708" t="s">
        <v>4</v>
      </c>
      <c r="F6708">
        <v>41.88</v>
      </c>
      <c r="G6708">
        <v>3.49</v>
      </c>
      <c r="H6708" t="s">
        <v>106</v>
      </c>
      <c r="I6708" s="1">
        <v>15</v>
      </c>
      <c r="J6708" s="1">
        <v>14.29</v>
      </c>
      <c r="K6708" t="s">
        <v>457</v>
      </c>
      <c r="L6708" s="1">
        <v>15.72</v>
      </c>
    </row>
    <row r="6709" spans="1:12">
      <c r="A6709" t="s">
        <v>6691</v>
      </c>
      <c r="B6709">
        <v>504898</v>
      </c>
      <c r="C6709" s="2" t="str">
        <f>"RSK-10"</f>
        <v>RSK-10</v>
      </c>
      <c r="D6709" t="s">
        <v>6783</v>
      </c>
      <c r="E6709" t="s">
        <v>4</v>
      </c>
      <c r="F6709">
        <v>32.22</v>
      </c>
      <c r="G6709">
        <v>5.37</v>
      </c>
      <c r="H6709" t="s">
        <v>20</v>
      </c>
      <c r="I6709" s="1">
        <v>11.12</v>
      </c>
      <c r="J6709" s="1">
        <v>10.6</v>
      </c>
      <c r="K6709" t="s">
        <v>457</v>
      </c>
      <c r="L6709" s="1">
        <v>11.65</v>
      </c>
    </row>
    <row r="6710" spans="1:12">
      <c r="A6710" t="s">
        <v>6691</v>
      </c>
      <c r="B6710">
        <v>504899</v>
      </c>
      <c r="C6710" s="2" t="str">
        <f>"RSK-12"</f>
        <v>RSK-12</v>
      </c>
      <c r="D6710" t="s">
        <v>6784</v>
      </c>
      <c r="E6710" t="s">
        <v>4</v>
      </c>
      <c r="F6710">
        <v>30</v>
      </c>
      <c r="G6710">
        <v>7.5</v>
      </c>
      <c r="H6710" t="s">
        <v>153</v>
      </c>
      <c r="I6710" s="1">
        <v>17.54</v>
      </c>
      <c r="J6710" s="1">
        <v>16.71</v>
      </c>
      <c r="K6710" t="s">
        <v>457</v>
      </c>
      <c r="L6710" s="1">
        <v>18.38</v>
      </c>
    </row>
    <row r="6711" spans="1:12">
      <c r="A6711" t="s">
        <v>6691</v>
      </c>
      <c r="B6711">
        <v>504900</v>
      </c>
      <c r="C6711" s="2" t="str">
        <f>"RSK-6"</f>
        <v>RSK-6</v>
      </c>
      <c r="D6711" t="s">
        <v>6785</v>
      </c>
      <c r="E6711" t="s">
        <v>4</v>
      </c>
      <c r="F6711">
        <v>28.8</v>
      </c>
      <c r="G6711">
        <v>2.4</v>
      </c>
      <c r="H6711" t="s">
        <v>106</v>
      </c>
      <c r="I6711" s="1">
        <v>5.28</v>
      </c>
      <c r="J6711" s="1">
        <v>5.03</v>
      </c>
      <c r="K6711" t="s">
        <v>457</v>
      </c>
      <c r="L6711" s="1">
        <v>5.53</v>
      </c>
    </row>
    <row r="6712" spans="1:12">
      <c r="A6712" t="s">
        <v>6691</v>
      </c>
      <c r="B6712">
        <v>504902</v>
      </c>
      <c r="C6712" s="2" t="str">
        <f>"SIZ-11"</f>
        <v>SIZ-11</v>
      </c>
      <c r="D6712" t="s">
        <v>6786</v>
      </c>
      <c r="E6712" t="s">
        <v>4</v>
      </c>
      <c r="F6712">
        <v>10.8</v>
      </c>
      <c r="G6712">
        <v>0.9</v>
      </c>
      <c r="H6712" t="s">
        <v>106</v>
      </c>
      <c r="I6712" s="1">
        <v>6.14</v>
      </c>
      <c r="J6712" s="1">
        <v>5.85</v>
      </c>
      <c r="K6712" t="s">
        <v>457</v>
      </c>
      <c r="L6712" s="1">
        <v>6.44</v>
      </c>
    </row>
    <row r="6713" spans="1:12">
      <c r="A6713" t="s">
        <v>6691</v>
      </c>
      <c r="B6713">
        <v>504903</v>
      </c>
      <c r="C6713" s="2" t="str">
        <f>"SP7100C"</f>
        <v>SP7100C</v>
      </c>
      <c r="D6713" t="s">
        <v>6787</v>
      </c>
      <c r="E6713" t="s">
        <v>4</v>
      </c>
      <c r="F6713">
        <v>16.8</v>
      </c>
      <c r="G6713">
        <v>1.4</v>
      </c>
      <c r="H6713" t="s">
        <v>106</v>
      </c>
      <c r="I6713" s="1">
        <v>6.07</v>
      </c>
      <c r="J6713" s="1">
        <v>5.79</v>
      </c>
      <c r="K6713" t="s">
        <v>457</v>
      </c>
      <c r="L6713" s="1">
        <v>6.36</v>
      </c>
    </row>
    <row r="6714" spans="1:12">
      <c r="A6714" t="s">
        <v>6691</v>
      </c>
      <c r="B6714">
        <v>504904</v>
      </c>
      <c r="C6714" s="2" t="str">
        <f>"SP7102"</f>
        <v>SP7102</v>
      </c>
      <c r="D6714" t="s">
        <v>6788</v>
      </c>
      <c r="E6714" t="s">
        <v>4</v>
      </c>
      <c r="F6714">
        <v>12.78</v>
      </c>
      <c r="G6714">
        <v>2.13</v>
      </c>
      <c r="H6714" t="s">
        <v>20</v>
      </c>
      <c r="I6714" s="1">
        <v>8.26</v>
      </c>
      <c r="J6714" s="1">
        <v>7.87</v>
      </c>
      <c r="K6714" t="s">
        <v>457</v>
      </c>
      <c r="L6714" s="1">
        <v>8.65</v>
      </c>
    </row>
    <row r="6715" spans="1:12">
      <c r="A6715" t="s">
        <v>6691</v>
      </c>
      <c r="B6715">
        <v>504906</v>
      </c>
      <c r="C6715" s="2" t="str">
        <f>"SP7104"</f>
        <v>SP7104</v>
      </c>
      <c r="D6715" t="s">
        <v>6789</v>
      </c>
      <c r="E6715" t="s">
        <v>4</v>
      </c>
      <c r="F6715">
        <v>15.18</v>
      </c>
      <c r="G6715">
        <v>2.5299999999999998</v>
      </c>
      <c r="H6715" t="s">
        <v>20</v>
      </c>
      <c r="I6715" s="1">
        <v>9.66</v>
      </c>
      <c r="J6715" s="1">
        <v>9.1999999999999993</v>
      </c>
      <c r="K6715" t="s">
        <v>457</v>
      </c>
      <c r="L6715" s="1">
        <v>10.119999999999999</v>
      </c>
    </row>
    <row r="6716" spans="1:12">
      <c r="A6716" t="s">
        <v>6691</v>
      </c>
      <c r="B6716">
        <v>504907</v>
      </c>
      <c r="C6716" s="2" t="str">
        <f>"SP7106"</f>
        <v>SP7106</v>
      </c>
      <c r="D6716" t="s">
        <v>6790</v>
      </c>
      <c r="E6716" t="s">
        <v>4</v>
      </c>
      <c r="F6716">
        <v>20.399999999999999</v>
      </c>
      <c r="G6716">
        <v>3.4</v>
      </c>
      <c r="H6716" t="s">
        <v>20</v>
      </c>
      <c r="I6716" s="1">
        <v>12.42</v>
      </c>
      <c r="J6716" s="1">
        <v>11.83</v>
      </c>
      <c r="K6716" t="s">
        <v>457</v>
      </c>
      <c r="L6716" s="1">
        <v>13.01</v>
      </c>
    </row>
    <row r="6717" spans="1:12">
      <c r="A6717" t="s">
        <v>6691</v>
      </c>
      <c r="B6717">
        <v>504908</v>
      </c>
      <c r="C6717" s="2" t="str">
        <f>"SP7200C"</f>
        <v>SP7200C</v>
      </c>
      <c r="D6717" t="s">
        <v>6791</v>
      </c>
      <c r="E6717" t="s">
        <v>4</v>
      </c>
      <c r="F6717">
        <v>7.8</v>
      </c>
      <c r="G6717">
        <v>0.65</v>
      </c>
      <c r="H6717" t="s">
        <v>106</v>
      </c>
      <c r="I6717" s="1">
        <v>2.93</v>
      </c>
      <c r="J6717" s="1">
        <v>2.8</v>
      </c>
      <c r="K6717" t="s">
        <v>457</v>
      </c>
      <c r="L6717" s="1">
        <v>3.07</v>
      </c>
    </row>
    <row r="6718" spans="1:12">
      <c r="A6718" t="s">
        <v>6691</v>
      </c>
      <c r="B6718">
        <v>504909</v>
      </c>
      <c r="C6718" s="2" t="str">
        <f>"SP7202"</f>
        <v>SP7202</v>
      </c>
      <c r="D6718" t="s">
        <v>6792</v>
      </c>
      <c r="E6718" t="s">
        <v>4</v>
      </c>
      <c r="F6718">
        <v>12.24</v>
      </c>
      <c r="G6718">
        <v>1.02</v>
      </c>
      <c r="H6718" t="s">
        <v>106</v>
      </c>
      <c r="I6718" s="1">
        <v>4.3</v>
      </c>
      <c r="J6718" s="1">
        <v>4.0999999999999996</v>
      </c>
      <c r="K6718" t="s">
        <v>457</v>
      </c>
      <c r="L6718" s="1">
        <v>4.5</v>
      </c>
    </row>
    <row r="6719" spans="1:12">
      <c r="A6719" t="s">
        <v>6691</v>
      </c>
      <c r="B6719">
        <v>504910</v>
      </c>
      <c r="C6719" s="2" t="str">
        <f>"SP7204"</f>
        <v>SP7204</v>
      </c>
      <c r="D6719" t="s">
        <v>6793</v>
      </c>
      <c r="E6719" t="s">
        <v>4</v>
      </c>
      <c r="F6719">
        <v>7.44</v>
      </c>
      <c r="G6719">
        <v>1.24</v>
      </c>
      <c r="H6719" t="s">
        <v>20</v>
      </c>
      <c r="I6719" s="1">
        <v>5.39</v>
      </c>
      <c r="J6719" s="1">
        <v>5.14</v>
      </c>
      <c r="K6719" t="s">
        <v>457</v>
      </c>
      <c r="L6719" s="1">
        <v>5.65</v>
      </c>
    </row>
    <row r="6720" spans="1:12">
      <c r="A6720" t="s">
        <v>6691</v>
      </c>
      <c r="B6720">
        <v>504911</v>
      </c>
      <c r="C6720" s="2" t="str">
        <f>"SP7206"</f>
        <v>SP7206</v>
      </c>
      <c r="D6720" t="s">
        <v>6794</v>
      </c>
      <c r="E6720" t="s">
        <v>4</v>
      </c>
      <c r="F6720">
        <v>10.32</v>
      </c>
      <c r="G6720">
        <v>1.72</v>
      </c>
      <c r="H6720" t="s">
        <v>20</v>
      </c>
      <c r="I6720" s="1">
        <v>6.89</v>
      </c>
      <c r="J6720" s="1">
        <v>6.57</v>
      </c>
      <c r="K6720" t="s">
        <v>457</v>
      </c>
      <c r="L6720" s="1">
        <v>7.22</v>
      </c>
    </row>
    <row r="6721" spans="1:12">
      <c r="A6721" t="s">
        <v>6691</v>
      </c>
      <c r="B6721">
        <v>504912</v>
      </c>
      <c r="C6721" s="2" t="str">
        <f>"SP7300C"</f>
        <v>SP7300C</v>
      </c>
      <c r="D6721" t="s">
        <v>6795</v>
      </c>
      <c r="E6721" t="s">
        <v>4</v>
      </c>
      <c r="F6721">
        <v>4.92</v>
      </c>
      <c r="G6721">
        <v>0.41</v>
      </c>
      <c r="H6721" t="s">
        <v>106</v>
      </c>
      <c r="I6721" s="1">
        <v>1.99</v>
      </c>
      <c r="J6721" s="1">
        <v>1.9</v>
      </c>
      <c r="K6721" t="s">
        <v>457</v>
      </c>
      <c r="L6721" s="1">
        <v>2.09</v>
      </c>
    </row>
    <row r="6722" spans="1:12">
      <c r="A6722" t="s">
        <v>6691</v>
      </c>
      <c r="B6722">
        <v>504913</v>
      </c>
      <c r="C6722" s="2" t="str">
        <f>"SP7302"</f>
        <v>SP7302</v>
      </c>
      <c r="D6722" t="s">
        <v>6796</v>
      </c>
      <c r="E6722" t="s">
        <v>4</v>
      </c>
      <c r="F6722">
        <v>9.9600000000000009</v>
      </c>
      <c r="G6722">
        <v>0.83</v>
      </c>
      <c r="H6722" t="s">
        <v>106</v>
      </c>
      <c r="I6722" s="1">
        <v>3.18</v>
      </c>
      <c r="J6722" s="1">
        <v>3.03</v>
      </c>
      <c r="K6722" t="s">
        <v>457</v>
      </c>
      <c r="L6722" s="1">
        <v>3.33</v>
      </c>
    </row>
    <row r="6723" spans="1:12">
      <c r="A6723" t="s">
        <v>6691</v>
      </c>
      <c r="B6723">
        <v>504914</v>
      </c>
      <c r="C6723" s="2" t="str">
        <f>"SP7304"</f>
        <v>SP7304</v>
      </c>
      <c r="D6723" t="s">
        <v>6797</v>
      </c>
      <c r="E6723" t="s">
        <v>4</v>
      </c>
      <c r="F6723">
        <v>12.84</v>
      </c>
      <c r="G6723">
        <v>1.07</v>
      </c>
      <c r="H6723" t="s">
        <v>106</v>
      </c>
      <c r="I6723" s="1">
        <v>4</v>
      </c>
      <c r="J6723" s="1">
        <v>3.81</v>
      </c>
      <c r="K6723" t="s">
        <v>457</v>
      </c>
      <c r="L6723" s="1">
        <v>4.1900000000000004</v>
      </c>
    </row>
    <row r="6724" spans="1:12">
      <c r="A6724" t="s">
        <v>6691</v>
      </c>
      <c r="B6724">
        <v>504915</v>
      </c>
      <c r="C6724" s="2" t="str">
        <f>"SP7306"</f>
        <v>SP7306</v>
      </c>
      <c r="D6724" t="s">
        <v>6798</v>
      </c>
      <c r="E6724" t="s">
        <v>4</v>
      </c>
      <c r="F6724">
        <v>7.98</v>
      </c>
      <c r="G6724">
        <v>1.33</v>
      </c>
      <c r="H6724" t="s">
        <v>20</v>
      </c>
      <c r="I6724" s="1">
        <v>5.26</v>
      </c>
      <c r="J6724" s="1">
        <v>5.01</v>
      </c>
      <c r="K6724" t="s">
        <v>457</v>
      </c>
      <c r="L6724" s="1">
        <v>5.51</v>
      </c>
    </row>
    <row r="6725" spans="1:12">
      <c r="A6725" t="s">
        <v>6691</v>
      </c>
      <c r="B6725">
        <v>504916</v>
      </c>
      <c r="C6725" s="2" t="str">
        <f>"SP7400C"</f>
        <v>SP7400C</v>
      </c>
      <c r="D6725" t="s">
        <v>6799</v>
      </c>
      <c r="E6725" t="s">
        <v>4</v>
      </c>
      <c r="F6725">
        <v>4.32</v>
      </c>
      <c r="G6725">
        <v>0.36</v>
      </c>
      <c r="H6725" t="s">
        <v>106</v>
      </c>
      <c r="I6725" s="1">
        <v>1.45</v>
      </c>
      <c r="J6725" s="1">
        <v>1.38</v>
      </c>
      <c r="K6725" t="s">
        <v>457</v>
      </c>
      <c r="L6725" s="1">
        <v>1.52</v>
      </c>
    </row>
    <row r="6726" spans="1:12">
      <c r="A6726" t="s">
        <v>6691</v>
      </c>
      <c r="B6726">
        <v>504917</v>
      </c>
      <c r="C6726" s="2" t="str">
        <f>"SP7404"</f>
        <v>SP7404</v>
      </c>
      <c r="D6726" t="s">
        <v>6800</v>
      </c>
      <c r="E6726" t="s">
        <v>4</v>
      </c>
      <c r="F6726">
        <v>9.84</v>
      </c>
      <c r="G6726">
        <v>0.82</v>
      </c>
      <c r="H6726" t="s">
        <v>106</v>
      </c>
      <c r="I6726" s="1">
        <v>3.21</v>
      </c>
      <c r="J6726" s="1">
        <v>3.06</v>
      </c>
      <c r="K6726" t="s">
        <v>457</v>
      </c>
      <c r="L6726" s="1">
        <v>3.36</v>
      </c>
    </row>
    <row r="6727" spans="1:12">
      <c r="A6727" t="s">
        <v>6691</v>
      </c>
      <c r="B6727">
        <v>504919</v>
      </c>
      <c r="C6727" s="2" t="str">
        <f>"SP7406"</f>
        <v>SP7406</v>
      </c>
      <c r="D6727" t="s">
        <v>6801</v>
      </c>
      <c r="E6727" t="s">
        <v>4</v>
      </c>
      <c r="F6727">
        <v>6.48</v>
      </c>
      <c r="G6727">
        <v>1.08</v>
      </c>
      <c r="H6727" t="s">
        <v>20</v>
      </c>
      <c r="I6727" s="1">
        <v>3.82</v>
      </c>
      <c r="J6727" s="1">
        <v>3.64</v>
      </c>
      <c r="K6727" t="s">
        <v>457</v>
      </c>
      <c r="L6727" s="1">
        <v>4</v>
      </c>
    </row>
    <row r="6728" spans="1:12">
      <c r="A6728" t="s">
        <v>6691</v>
      </c>
      <c r="B6728">
        <v>504920</v>
      </c>
      <c r="C6728" s="2" t="str">
        <f>"SP7600C"</f>
        <v>SP7600C</v>
      </c>
      <c r="D6728" t="s">
        <v>6802</v>
      </c>
      <c r="E6728" t="s">
        <v>4</v>
      </c>
      <c r="F6728">
        <v>3</v>
      </c>
      <c r="G6728">
        <v>0.25</v>
      </c>
      <c r="H6728" t="s">
        <v>106</v>
      </c>
      <c r="I6728" s="1">
        <v>1.02</v>
      </c>
      <c r="J6728" s="1">
        <v>0.98</v>
      </c>
      <c r="K6728" t="s">
        <v>457</v>
      </c>
      <c r="L6728" s="1">
        <v>1.07</v>
      </c>
    </row>
    <row r="6729" spans="1:12">
      <c r="A6729" t="s">
        <v>6691</v>
      </c>
      <c r="B6729">
        <v>504921</v>
      </c>
      <c r="C6729" s="2" t="str">
        <f>"SP7602"</f>
        <v>SP7602</v>
      </c>
      <c r="D6729" t="s">
        <v>6803</v>
      </c>
      <c r="E6729" t="s">
        <v>4</v>
      </c>
      <c r="F6729">
        <v>5.64</v>
      </c>
      <c r="G6729">
        <v>0.47</v>
      </c>
      <c r="H6729" t="s">
        <v>106</v>
      </c>
      <c r="I6729" s="1">
        <v>1.84</v>
      </c>
      <c r="J6729" s="1">
        <v>1.76</v>
      </c>
      <c r="K6729" t="s">
        <v>457</v>
      </c>
      <c r="L6729" s="1">
        <v>1.93</v>
      </c>
    </row>
    <row r="6730" spans="1:12">
      <c r="A6730" t="s">
        <v>6691</v>
      </c>
      <c r="B6730">
        <v>504923</v>
      </c>
      <c r="C6730" s="2" t="str">
        <f>"SP7604"</f>
        <v>SP7604</v>
      </c>
      <c r="D6730" t="s">
        <v>6804</v>
      </c>
      <c r="E6730" t="s">
        <v>4</v>
      </c>
      <c r="F6730">
        <v>6.24</v>
      </c>
      <c r="G6730">
        <v>0.52</v>
      </c>
      <c r="H6730" t="s">
        <v>106</v>
      </c>
      <c r="I6730" s="1">
        <v>2.16</v>
      </c>
      <c r="J6730" s="1">
        <v>2.0499999999999998</v>
      </c>
      <c r="K6730" t="s">
        <v>457</v>
      </c>
      <c r="L6730" s="1">
        <v>2.2599999999999998</v>
      </c>
    </row>
    <row r="6731" spans="1:12">
      <c r="A6731" t="s">
        <v>6691</v>
      </c>
      <c r="B6731">
        <v>504924</v>
      </c>
      <c r="C6731" s="2" t="str">
        <f>"SP7606"</f>
        <v>SP7606</v>
      </c>
      <c r="D6731" t="s">
        <v>6805</v>
      </c>
      <c r="E6731" t="s">
        <v>4</v>
      </c>
      <c r="F6731">
        <v>4.0199999999999996</v>
      </c>
      <c r="G6731">
        <v>0.67</v>
      </c>
      <c r="H6731" t="s">
        <v>20</v>
      </c>
      <c r="I6731" s="1">
        <v>2.77</v>
      </c>
      <c r="J6731" s="1">
        <v>2.64</v>
      </c>
      <c r="K6731" t="s">
        <v>457</v>
      </c>
      <c r="L6731" s="1">
        <v>2.9</v>
      </c>
    </row>
    <row r="6732" spans="1:12">
      <c r="A6732" t="s">
        <v>6691</v>
      </c>
      <c r="B6732">
        <v>504926</v>
      </c>
      <c r="C6732" s="2" t="str">
        <f>"SP7900C"</f>
        <v>SP7900C</v>
      </c>
      <c r="D6732" t="s">
        <v>6806</v>
      </c>
      <c r="E6732" t="s">
        <v>4</v>
      </c>
      <c r="F6732">
        <v>1.68</v>
      </c>
      <c r="G6732">
        <v>0.14000000000000001</v>
      </c>
      <c r="H6732" t="s">
        <v>106</v>
      </c>
      <c r="I6732" s="1">
        <v>0.68</v>
      </c>
      <c r="J6732" s="1">
        <v>0.65</v>
      </c>
      <c r="K6732" t="s">
        <v>457</v>
      </c>
      <c r="L6732" s="1">
        <v>0.72</v>
      </c>
    </row>
    <row r="6733" spans="1:12">
      <c r="A6733" t="s">
        <v>6691</v>
      </c>
      <c r="B6733">
        <v>504928</v>
      </c>
      <c r="C6733" s="2" t="str">
        <f>"SP7902"</f>
        <v>SP7902</v>
      </c>
      <c r="D6733" t="s">
        <v>6807</v>
      </c>
      <c r="E6733" t="s">
        <v>4</v>
      </c>
      <c r="F6733">
        <v>3.72</v>
      </c>
      <c r="G6733">
        <v>0.31</v>
      </c>
      <c r="H6733" t="s">
        <v>106</v>
      </c>
      <c r="I6733" s="1">
        <v>1.28</v>
      </c>
      <c r="J6733" s="1">
        <v>1.22</v>
      </c>
      <c r="K6733" t="s">
        <v>457</v>
      </c>
      <c r="L6733" s="1">
        <v>1.34</v>
      </c>
    </row>
    <row r="6734" spans="1:12">
      <c r="A6734" t="s">
        <v>6691</v>
      </c>
      <c r="B6734">
        <v>504929</v>
      </c>
      <c r="C6734" s="2" t="str">
        <f>"SP7904"</f>
        <v>SP7904</v>
      </c>
      <c r="D6734" t="s">
        <v>6808</v>
      </c>
      <c r="E6734" t="s">
        <v>4</v>
      </c>
      <c r="F6734">
        <v>5.04</v>
      </c>
      <c r="G6734">
        <v>0.42</v>
      </c>
      <c r="H6734" t="s">
        <v>106</v>
      </c>
      <c r="I6734" s="1">
        <v>1.62</v>
      </c>
      <c r="J6734" s="1">
        <v>1.55</v>
      </c>
      <c r="K6734" t="s">
        <v>457</v>
      </c>
      <c r="L6734" s="1">
        <v>1.7</v>
      </c>
    </row>
    <row r="6735" spans="1:12">
      <c r="A6735" t="s">
        <v>6691</v>
      </c>
      <c r="B6735">
        <v>504930</v>
      </c>
      <c r="C6735" s="2" t="str">
        <f>"SSFP-11NS"</f>
        <v>SSFP-11NS</v>
      </c>
      <c r="D6735" t="s">
        <v>6809</v>
      </c>
      <c r="E6735" t="s">
        <v>4</v>
      </c>
      <c r="F6735">
        <v>25.2</v>
      </c>
      <c r="G6735">
        <v>4.2</v>
      </c>
      <c r="H6735" t="s">
        <v>20</v>
      </c>
      <c r="I6735" s="1">
        <v>25.66</v>
      </c>
      <c r="J6735" s="1">
        <v>24.44</v>
      </c>
      <c r="K6735" t="s">
        <v>457</v>
      </c>
      <c r="L6735" s="1">
        <v>26.88</v>
      </c>
    </row>
    <row r="6736" spans="1:12">
      <c r="A6736" t="s">
        <v>6691</v>
      </c>
      <c r="B6736">
        <v>504932</v>
      </c>
      <c r="C6736" s="2" t="str">
        <f>"SSFP-8NS"</f>
        <v>SSFP-8NS</v>
      </c>
      <c r="D6736" t="s">
        <v>6810</v>
      </c>
      <c r="E6736" t="s">
        <v>4</v>
      </c>
      <c r="F6736">
        <v>13.38</v>
      </c>
      <c r="G6736">
        <v>2.23</v>
      </c>
      <c r="H6736" t="s">
        <v>20</v>
      </c>
      <c r="I6736" s="1">
        <v>15.22</v>
      </c>
      <c r="J6736" s="1">
        <v>14.5</v>
      </c>
      <c r="K6736" t="s">
        <v>457</v>
      </c>
      <c r="L6736" s="1">
        <v>15.94</v>
      </c>
    </row>
    <row r="6737" spans="1:12">
      <c r="A6737" t="s">
        <v>6691</v>
      </c>
      <c r="B6737">
        <v>504933</v>
      </c>
      <c r="C6737" s="2" t="str">
        <f>"SSFP-9"</f>
        <v>SSFP-9</v>
      </c>
      <c r="D6737" t="s">
        <v>6811</v>
      </c>
      <c r="E6737" t="s">
        <v>4</v>
      </c>
      <c r="F6737">
        <v>18.18</v>
      </c>
      <c r="G6737">
        <v>3.03</v>
      </c>
      <c r="H6737" t="s">
        <v>20</v>
      </c>
      <c r="I6737" s="1">
        <v>15.36</v>
      </c>
      <c r="J6737" s="1">
        <v>14.63</v>
      </c>
      <c r="K6737" t="s">
        <v>457</v>
      </c>
      <c r="L6737" s="1">
        <v>16.09</v>
      </c>
    </row>
    <row r="6738" spans="1:12">
      <c r="A6738" t="s">
        <v>6691</v>
      </c>
      <c r="B6738">
        <v>504934</v>
      </c>
      <c r="C6738" s="2" t="str">
        <f>"SSFP-9NS"</f>
        <v>SSFP-9NS</v>
      </c>
      <c r="D6738" t="s">
        <v>6812</v>
      </c>
      <c r="E6738" t="s">
        <v>4</v>
      </c>
      <c r="F6738">
        <v>18.18</v>
      </c>
      <c r="G6738">
        <v>3.03</v>
      </c>
      <c r="H6738" t="s">
        <v>20</v>
      </c>
      <c r="I6738" s="1">
        <v>21.16</v>
      </c>
      <c r="J6738" s="1">
        <v>20.149999999999999</v>
      </c>
      <c r="K6738" t="s">
        <v>457</v>
      </c>
      <c r="L6738" s="1">
        <v>22.17</v>
      </c>
    </row>
    <row r="6739" spans="1:12">
      <c r="A6739" t="s">
        <v>6691</v>
      </c>
      <c r="B6739">
        <v>504936</v>
      </c>
      <c r="C6739" s="2" t="str">
        <f>"SSSP-2"</f>
        <v>SSSP-2</v>
      </c>
      <c r="D6739" t="s">
        <v>6813</v>
      </c>
      <c r="E6739" t="s">
        <v>4</v>
      </c>
      <c r="F6739">
        <v>17.399999999999999</v>
      </c>
      <c r="G6739">
        <v>2.9</v>
      </c>
      <c r="H6739" t="s">
        <v>20</v>
      </c>
      <c r="I6739" s="1">
        <v>16.22</v>
      </c>
      <c r="J6739" s="1">
        <v>15.44</v>
      </c>
      <c r="K6739" t="s">
        <v>457</v>
      </c>
      <c r="L6739" s="1">
        <v>16.989999999999998</v>
      </c>
    </row>
    <row r="6740" spans="1:12">
      <c r="A6740" t="s">
        <v>6691</v>
      </c>
      <c r="B6740">
        <v>504938</v>
      </c>
      <c r="C6740" s="2" t="str">
        <f>"SSSP-3"</f>
        <v>SSSP-3</v>
      </c>
      <c r="D6740" t="s">
        <v>6814</v>
      </c>
      <c r="E6740" t="s">
        <v>4</v>
      </c>
      <c r="F6740">
        <v>24.42</v>
      </c>
      <c r="G6740">
        <v>4.07</v>
      </c>
      <c r="H6740" t="s">
        <v>20</v>
      </c>
      <c r="I6740" s="1">
        <v>20.68</v>
      </c>
      <c r="J6740" s="1">
        <v>19.7</v>
      </c>
      <c r="K6740" t="s">
        <v>457</v>
      </c>
      <c r="L6740" s="1">
        <v>21.66</v>
      </c>
    </row>
    <row r="6741" spans="1:12">
      <c r="A6741" t="s">
        <v>6691</v>
      </c>
      <c r="B6741">
        <v>504939</v>
      </c>
      <c r="C6741" s="2" t="str">
        <f>"SSSP-4"</f>
        <v>SSSP-4</v>
      </c>
      <c r="D6741" t="s">
        <v>6815</v>
      </c>
      <c r="E6741" t="s">
        <v>4</v>
      </c>
      <c r="F6741">
        <v>26.58</v>
      </c>
      <c r="G6741">
        <v>4.43</v>
      </c>
      <c r="H6741" t="s">
        <v>20</v>
      </c>
      <c r="I6741" s="1">
        <v>23.14</v>
      </c>
      <c r="J6741" s="1">
        <v>22.04</v>
      </c>
      <c r="K6741" t="s">
        <v>457</v>
      </c>
      <c r="L6741" s="1">
        <v>24.24</v>
      </c>
    </row>
    <row r="6742" spans="1:12">
      <c r="A6742" t="s">
        <v>6691</v>
      </c>
      <c r="B6742">
        <v>504940</v>
      </c>
      <c r="C6742" s="2" t="str">
        <f>"SST-12"</f>
        <v>SST-12</v>
      </c>
      <c r="D6742" t="s">
        <v>6816</v>
      </c>
      <c r="E6742" t="s">
        <v>4</v>
      </c>
      <c r="F6742">
        <v>33.6</v>
      </c>
      <c r="G6742">
        <v>8.4</v>
      </c>
      <c r="H6742" t="s">
        <v>153</v>
      </c>
      <c r="I6742" s="1">
        <v>41.7</v>
      </c>
      <c r="J6742" s="1">
        <v>39.72</v>
      </c>
      <c r="K6742" t="s">
        <v>457</v>
      </c>
      <c r="L6742" s="1">
        <v>43.69</v>
      </c>
    </row>
    <row r="6743" spans="1:12">
      <c r="A6743" t="s">
        <v>6691</v>
      </c>
      <c r="B6743">
        <v>504941</v>
      </c>
      <c r="C6743" s="2" t="str">
        <f>"SST-16"</f>
        <v>SST-16</v>
      </c>
      <c r="D6743" t="s">
        <v>6817</v>
      </c>
      <c r="E6743" t="s">
        <v>4</v>
      </c>
      <c r="F6743">
        <v>36.799999999999997</v>
      </c>
      <c r="G6743">
        <v>9.1999999999999993</v>
      </c>
      <c r="H6743" t="s">
        <v>153</v>
      </c>
      <c r="I6743" s="1">
        <v>46.34</v>
      </c>
      <c r="J6743" s="1">
        <v>44.14</v>
      </c>
      <c r="K6743" t="s">
        <v>457</v>
      </c>
      <c r="L6743" s="1">
        <v>48.55</v>
      </c>
    </row>
    <row r="6744" spans="1:12">
      <c r="A6744" t="s">
        <v>6691</v>
      </c>
      <c r="B6744">
        <v>504942</v>
      </c>
      <c r="C6744" s="2" t="str">
        <f>"SST-20"</f>
        <v>SST-20</v>
      </c>
      <c r="D6744" t="s">
        <v>6818</v>
      </c>
      <c r="E6744" t="s">
        <v>4</v>
      </c>
      <c r="F6744">
        <v>47.8</v>
      </c>
      <c r="G6744">
        <v>11.95</v>
      </c>
      <c r="H6744" t="s">
        <v>153</v>
      </c>
      <c r="I6744" s="1">
        <v>59.38</v>
      </c>
      <c r="J6744" s="1">
        <v>56.55</v>
      </c>
      <c r="K6744" t="s">
        <v>457</v>
      </c>
      <c r="L6744" s="1">
        <v>62.21</v>
      </c>
    </row>
    <row r="6745" spans="1:12">
      <c r="A6745" t="s">
        <v>6691</v>
      </c>
      <c r="B6745">
        <v>504943</v>
      </c>
      <c r="C6745" s="2" t="str">
        <f>"SST-24"</f>
        <v>SST-24</v>
      </c>
      <c r="D6745" t="s">
        <v>6819</v>
      </c>
      <c r="E6745" t="s">
        <v>4</v>
      </c>
      <c r="F6745">
        <v>31</v>
      </c>
      <c r="G6745">
        <v>15.5</v>
      </c>
      <c r="H6745" t="s">
        <v>175</v>
      </c>
      <c r="I6745" s="1">
        <v>75.06</v>
      </c>
      <c r="J6745" s="1">
        <v>71.489999999999995</v>
      </c>
      <c r="K6745" t="s">
        <v>457</v>
      </c>
      <c r="L6745" s="1">
        <v>78.64</v>
      </c>
    </row>
    <row r="6746" spans="1:12">
      <c r="A6746" t="s">
        <v>6691</v>
      </c>
      <c r="B6746">
        <v>504944</v>
      </c>
      <c r="C6746" s="2" t="str">
        <f>"SST-8"</f>
        <v>SST-8</v>
      </c>
      <c r="D6746" t="s">
        <v>6820</v>
      </c>
      <c r="E6746" t="s">
        <v>4</v>
      </c>
      <c r="F6746">
        <v>25.6</v>
      </c>
      <c r="G6746">
        <v>6.4</v>
      </c>
      <c r="H6746" t="s">
        <v>153</v>
      </c>
      <c r="I6746" s="1">
        <v>31.6</v>
      </c>
      <c r="J6746" s="1">
        <v>30.1</v>
      </c>
      <c r="K6746" t="s">
        <v>457</v>
      </c>
      <c r="L6746" s="1">
        <v>33.1</v>
      </c>
    </row>
    <row r="6747" spans="1:12">
      <c r="A6747" t="s">
        <v>6691</v>
      </c>
      <c r="B6747">
        <v>504945</v>
      </c>
      <c r="C6747" s="2" t="str">
        <f>"SVM-8"</f>
        <v>SVM-8</v>
      </c>
      <c r="D6747" t="s">
        <v>6821</v>
      </c>
      <c r="E6747" t="s">
        <v>4</v>
      </c>
      <c r="F6747">
        <v>23.12</v>
      </c>
      <c r="G6747">
        <v>2.89</v>
      </c>
      <c r="H6747" t="s">
        <v>1456</v>
      </c>
      <c r="I6747" s="1">
        <v>26.41</v>
      </c>
      <c r="J6747" s="1">
        <v>25.16</v>
      </c>
      <c r="K6747" t="s">
        <v>457</v>
      </c>
      <c r="L6747" s="1">
        <v>27.67</v>
      </c>
    </row>
    <row r="6748" spans="1:12">
      <c r="A6748" t="s">
        <v>6691</v>
      </c>
      <c r="B6748">
        <v>504946</v>
      </c>
      <c r="C6748" s="2" t="str">
        <f>"SWA-2"</f>
        <v>SWA-2</v>
      </c>
      <c r="D6748" t="s">
        <v>6822</v>
      </c>
      <c r="E6748" t="s">
        <v>4</v>
      </c>
      <c r="F6748">
        <v>27</v>
      </c>
      <c r="G6748">
        <v>2.25</v>
      </c>
      <c r="H6748" t="s">
        <v>106</v>
      </c>
      <c r="I6748" s="1">
        <v>5.01</v>
      </c>
      <c r="J6748" s="1">
        <v>4.7699999999999996</v>
      </c>
      <c r="K6748" t="s">
        <v>457</v>
      </c>
      <c r="L6748" s="1">
        <v>5.25</v>
      </c>
    </row>
    <row r="6749" spans="1:12">
      <c r="A6749" t="s">
        <v>6691</v>
      </c>
      <c r="B6749">
        <v>504947</v>
      </c>
      <c r="C6749" s="2" t="str">
        <f>"SWA-9"</f>
        <v>SWA-9</v>
      </c>
      <c r="D6749" t="s">
        <v>6823</v>
      </c>
      <c r="E6749" t="s">
        <v>4</v>
      </c>
      <c r="F6749">
        <v>33</v>
      </c>
      <c r="G6749">
        <v>2.75</v>
      </c>
      <c r="H6749" t="s">
        <v>106</v>
      </c>
      <c r="I6749" s="1">
        <v>6.03</v>
      </c>
      <c r="J6749" s="1">
        <v>5.75</v>
      </c>
      <c r="K6749" t="s">
        <v>457</v>
      </c>
      <c r="L6749" s="1">
        <v>6.32</v>
      </c>
    </row>
    <row r="6750" spans="1:12">
      <c r="A6750" t="s">
        <v>6691</v>
      </c>
      <c r="B6750">
        <v>504948</v>
      </c>
      <c r="C6750" s="2" t="str">
        <f>"SWU-11"</f>
        <v>SWU-11</v>
      </c>
      <c r="D6750" t="s">
        <v>6824</v>
      </c>
      <c r="E6750" t="s">
        <v>4</v>
      </c>
      <c r="F6750">
        <v>13.2</v>
      </c>
      <c r="G6750">
        <v>1.1000000000000001</v>
      </c>
      <c r="H6750" t="s">
        <v>106</v>
      </c>
      <c r="I6750" s="1">
        <v>2.85</v>
      </c>
      <c r="J6750" s="1">
        <v>2.72</v>
      </c>
      <c r="K6750" t="s">
        <v>457</v>
      </c>
      <c r="L6750" s="1">
        <v>2.99</v>
      </c>
    </row>
    <row r="6751" spans="1:12">
      <c r="A6751" t="s">
        <v>6691</v>
      </c>
      <c r="B6751">
        <v>504997</v>
      </c>
      <c r="C6751" s="2" t="str">
        <f>"TR-33W"</f>
        <v>TR-33W</v>
      </c>
      <c r="D6751" t="s">
        <v>6825</v>
      </c>
      <c r="E6751" t="s">
        <v>4</v>
      </c>
      <c r="F6751">
        <v>9.48</v>
      </c>
      <c r="H6751" t="s">
        <v>5</v>
      </c>
      <c r="I6751" s="1">
        <v>22.85</v>
      </c>
      <c r="J6751" s="1">
        <v>21.76</v>
      </c>
      <c r="K6751" t="s">
        <v>6</v>
      </c>
    </row>
    <row r="6752" spans="1:12">
      <c r="A6752" t="s">
        <v>6691</v>
      </c>
      <c r="B6752">
        <v>504998</v>
      </c>
      <c r="C6752" s="2" t="str">
        <f>"TR-34W"</f>
        <v>TR-34W</v>
      </c>
      <c r="D6752" t="s">
        <v>6826</v>
      </c>
      <c r="E6752" t="s">
        <v>4</v>
      </c>
      <c r="F6752">
        <v>8.3800000000000008</v>
      </c>
      <c r="H6752" t="s">
        <v>5</v>
      </c>
      <c r="I6752" s="1">
        <v>22.85</v>
      </c>
      <c r="J6752" s="1">
        <v>21.76</v>
      </c>
      <c r="K6752" t="s">
        <v>6</v>
      </c>
    </row>
    <row r="6753" spans="1:12">
      <c r="A6753" t="s">
        <v>6691</v>
      </c>
      <c r="B6753">
        <v>504949</v>
      </c>
      <c r="C6753" s="2" t="str">
        <f>"TSY-1A"</f>
        <v>TSY-1A</v>
      </c>
      <c r="D6753" t="s">
        <v>6827</v>
      </c>
      <c r="E6753" t="s">
        <v>4</v>
      </c>
      <c r="F6753">
        <v>41.88</v>
      </c>
      <c r="G6753">
        <v>6.98</v>
      </c>
      <c r="H6753" t="s">
        <v>20</v>
      </c>
      <c r="I6753" s="1">
        <v>15.56</v>
      </c>
      <c r="J6753" s="1">
        <v>14.82</v>
      </c>
      <c r="K6753" t="s">
        <v>457</v>
      </c>
      <c r="L6753" s="1">
        <v>16.3</v>
      </c>
    </row>
    <row r="6754" spans="1:12">
      <c r="A6754" t="s">
        <v>6691</v>
      </c>
      <c r="B6754">
        <v>504999</v>
      </c>
      <c r="C6754" s="2" t="str">
        <f>"UC-35G"</f>
        <v>UC-35G</v>
      </c>
      <c r="D6754" t="s">
        <v>6828</v>
      </c>
      <c r="E6754" t="s">
        <v>4</v>
      </c>
      <c r="F6754">
        <v>22.05</v>
      </c>
      <c r="H6754" t="s">
        <v>5</v>
      </c>
      <c r="I6754" s="1">
        <v>61.83</v>
      </c>
      <c r="J6754" s="1">
        <v>58.89</v>
      </c>
      <c r="K6754" t="s">
        <v>6</v>
      </c>
    </row>
    <row r="6755" spans="1:12">
      <c r="A6755" t="s">
        <v>6691</v>
      </c>
      <c r="B6755">
        <v>505000</v>
      </c>
      <c r="C6755" s="2" t="str">
        <f>"UC-35K"</f>
        <v>UC-35K</v>
      </c>
      <c r="D6755" t="s">
        <v>6829</v>
      </c>
      <c r="E6755" t="s">
        <v>4</v>
      </c>
      <c r="F6755">
        <v>22.05</v>
      </c>
      <c r="H6755" t="s">
        <v>5</v>
      </c>
      <c r="I6755" s="1">
        <v>61.83</v>
      </c>
      <c r="J6755" s="1">
        <v>58.89</v>
      </c>
      <c r="K6755" t="s">
        <v>6</v>
      </c>
    </row>
    <row r="6756" spans="1:12">
      <c r="A6756" t="s">
        <v>6691</v>
      </c>
      <c r="B6756">
        <v>504950</v>
      </c>
      <c r="C6756" s="2" t="str">
        <f>"WB-29S"</f>
        <v>WB-29S</v>
      </c>
      <c r="D6756" t="s">
        <v>6830</v>
      </c>
      <c r="E6756" t="s">
        <v>4</v>
      </c>
      <c r="F6756">
        <v>37.979999999999997</v>
      </c>
      <c r="G6756">
        <v>6.33</v>
      </c>
      <c r="H6756" t="s">
        <v>20</v>
      </c>
      <c r="I6756" s="1">
        <v>32.020000000000003</v>
      </c>
      <c r="J6756" s="1">
        <v>30.64</v>
      </c>
      <c r="K6756" t="s">
        <v>457</v>
      </c>
      <c r="L6756" s="1">
        <v>33.71</v>
      </c>
    </row>
    <row r="6757" spans="1:12">
      <c r="A6757" t="s">
        <v>6691</v>
      </c>
      <c r="B6757">
        <v>504951</v>
      </c>
      <c r="C6757" s="2" t="str">
        <f>"WB-4HV"</f>
        <v>WB-4HV</v>
      </c>
      <c r="D6757" t="s">
        <v>6831</v>
      </c>
      <c r="E6757" t="s">
        <v>4</v>
      </c>
      <c r="F6757">
        <v>24.12</v>
      </c>
      <c r="G6757">
        <v>2.0099999999999998</v>
      </c>
      <c r="H6757" t="s">
        <v>106</v>
      </c>
      <c r="I6757" s="1">
        <v>18.690000000000001</v>
      </c>
      <c r="J6757" s="1">
        <v>17.8</v>
      </c>
      <c r="K6757" t="s">
        <v>457</v>
      </c>
      <c r="L6757" s="1">
        <v>19.579999999999998</v>
      </c>
    </row>
    <row r="6758" spans="1:12">
      <c r="A6758" t="s">
        <v>6691</v>
      </c>
      <c r="B6758">
        <v>504953</v>
      </c>
      <c r="C6758" s="2" t="str">
        <f>"WC-5"</f>
        <v>WC-5</v>
      </c>
      <c r="D6758" t="s">
        <v>6832</v>
      </c>
      <c r="E6758" t="s">
        <v>4</v>
      </c>
      <c r="F6758">
        <v>11.28</v>
      </c>
      <c r="G6758">
        <v>1.88</v>
      </c>
      <c r="H6758" t="s">
        <v>20</v>
      </c>
      <c r="I6758" s="1">
        <v>8.5</v>
      </c>
      <c r="J6758" s="1">
        <v>8.1</v>
      </c>
      <c r="K6758" t="s">
        <v>457</v>
      </c>
      <c r="L6758" s="1">
        <v>8.91</v>
      </c>
    </row>
    <row r="6759" spans="1:12">
      <c r="A6759" t="s">
        <v>6691</v>
      </c>
      <c r="B6759">
        <v>504954</v>
      </c>
      <c r="C6759" s="2" t="str">
        <f>"WPB-2C"</f>
        <v>WPB-2C</v>
      </c>
      <c r="D6759" t="s">
        <v>6833</v>
      </c>
      <c r="E6759" t="s">
        <v>4</v>
      </c>
      <c r="F6759">
        <v>37.200000000000003</v>
      </c>
      <c r="G6759">
        <v>1.55</v>
      </c>
      <c r="H6759" t="s">
        <v>666</v>
      </c>
      <c r="I6759" s="1">
        <v>13.04</v>
      </c>
      <c r="J6759" s="1">
        <v>12.42</v>
      </c>
      <c r="K6759" t="s">
        <v>457</v>
      </c>
      <c r="L6759" s="1">
        <v>13.66</v>
      </c>
    </row>
    <row r="6760" spans="1:12">
      <c r="A6760" t="s">
        <v>6691</v>
      </c>
      <c r="B6760">
        <v>504955</v>
      </c>
      <c r="C6760" s="2" t="str">
        <f>"WPB-3C"</f>
        <v>WPB-3C</v>
      </c>
      <c r="D6760" t="s">
        <v>6834</v>
      </c>
      <c r="E6760" t="s">
        <v>4</v>
      </c>
      <c r="F6760">
        <v>49.92</v>
      </c>
      <c r="G6760">
        <v>2.08</v>
      </c>
      <c r="H6760" t="s">
        <v>666</v>
      </c>
      <c r="I6760" s="1">
        <v>14.18</v>
      </c>
      <c r="J6760" s="1">
        <v>13.51</v>
      </c>
      <c r="K6760" t="s">
        <v>457</v>
      </c>
      <c r="L6760" s="1">
        <v>14.86</v>
      </c>
    </row>
    <row r="6761" spans="1:12">
      <c r="A6761" t="s">
        <v>6691</v>
      </c>
      <c r="B6761">
        <v>504956</v>
      </c>
      <c r="C6761" s="2" t="str">
        <f>"WPC-60"</f>
        <v>WPC-60</v>
      </c>
      <c r="D6761" t="s">
        <v>6835</v>
      </c>
      <c r="E6761" t="s">
        <v>4</v>
      </c>
      <c r="F6761">
        <v>9</v>
      </c>
      <c r="G6761">
        <v>0.75</v>
      </c>
      <c r="H6761" t="s">
        <v>106</v>
      </c>
      <c r="I6761" s="1">
        <v>4.08</v>
      </c>
      <c r="J6761" s="1">
        <v>3.89</v>
      </c>
      <c r="K6761" t="s">
        <v>457</v>
      </c>
      <c r="L6761" s="1">
        <v>4.28</v>
      </c>
    </row>
    <row r="6762" spans="1:12">
      <c r="A6762" t="s">
        <v>6691</v>
      </c>
      <c r="B6762">
        <v>504958</v>
      </c>
      <c r="C6762" s="2" t="str">
        <f>"WPCT-60C"</f>
        <v>WPCT-60C</v>
      </c>
      <c r="D6762" t="s">
        <v>6836</v>
      </c>
      <c r="E6762" t="s">
        <v>4</v>
      </c>
      <c r="F6762">
        <v>9.9600000000000009</v>
      </c>
      <c r="G6762">
        <v>0.83</v>
      </c>
      <c r="H6762" t="s">
        <v>106</v>
      </c>
      <c r="I6762" s="1">
        <v>4.08</v>
      </c>
      <c r="J6762" s="1">
        <v>3.89</v>
      </c>
      <c r="K6762" t="s">
        <v>457</v>
      </c>
      <c r="L6762" s="1">
        <v>4.28</v>
      </c>
    </row>
    <row r="6763" spans="1:12">
      <c r="A6763" t="s">
        <v>6837</v>
      </c>
      <c r="B6763">
        <v>483101</v>
      </c>
      <c r="C6763" s="2" t="str">
        <f>"ADE1820B/KDA"</f>
        <v>ADE1820B/KDA</v>
      </c>
      <c r="D6763" t="s">
        <v>6838</v>
      </c>
      <c r="E6763" t="s">
        <v>4</v>
      </c>
      <c r="F6763">
        <v>35</v>
      </c>
      <c r="H6763" t="s">
        <v>5</v>
      </c>
      <c r="I6763" s="1">
        <v>126.1</v>
      </c>
      <c r="J6763" s="1">
        <v>126.1</v>
      </c>
      <c r="K6763" t="s">
        <v>6</v>
      </c>
    </row>
    <row r="6764" spans="1:12">
      <c r="A6764" t="s">
        <v>6837</v>
      </c>
      <c r="B6764">
        <v>483241</v>
      </c>
      <c r="C6764" s="2" t="str">
        <f>"DASQ-3-1220"</f>
        <v>DASQ-3-1220</v>
      </c>
      <c r="D6764" t="s">
        <v>6839</v>
      </c>
      <c r="E6764" t="s">
        <v>4</v>
      </c>
      <c r="F6764">
        <v>54</v>
      </c>
      <c r="G6764">
        <v>9</v>
      </c>
      <c r="H6764" t="s">
        <v>20</v>
      </c>
      <c r="I6764" s="1">
        <v>65.52</v>
      </c>
      <c r="J6764" s="1">
        <v>65.52</v>
      </c>
      <c r="K6764" t="s">
        <v>21</v>
      </c>
      <c r="L6764" s="1">
        <v>72.069999999999993</v>
      </c>
    </row>
    <row r="6765" spans="1:12">
      <c r="A6765" t="s">
        <v>6837</v>
      </c>
      <c r="B6765">
        <v>483242</v>
      </c>
      <c r="C6765" s="2" t="str">
        <f>"DASQ-4-1220"</f>
        <v>DASQ-4-1220</v>
      </c>
      <c r="D6765" t="s">
        <v>6840</v>
      </c>
      <c r="E6765" t="s">
        <v>4</v>
      </c>
      <c r="F6765">
        <v>60</v>
      </c>
      <c r="G6765">
        <v>10</v>
      </c>
      <c r="H6765" t="s">
        <v>20</v>
      </c>
      <c r="I6765" s="1">
        <v>70.2</v>
      </c>
      <c r="J6765" s="1">
        <v>70.2</v>
      </c>
      <c r="K6765" t="s">
        <v>21</v>
      </c>
      <c r="L6765" s="1">
        <v>77.22</v>
      </c>
    </row>
    <row r="6766" spans="1:12">
      <c r="A6766" t="s">
        <v>6837</v>
      </c>
      <c r="B6766">
        <v>483102</v>
      </c>
      <c r="C6766" s="2" t="str">
        <f>"SRC-58/3Z"</f>
        <v>SRC-58/3Z</v>
      </c>
      <c r="D6766" t="s">
        <v>6841</v>
      </c>
      <c r="E6766" t="s">
        <v>4</v>
      </c>
      <c r="F6766">
        <v>3</v>
      </c>
      <c r="H6766" t="s">
        <v>5</v>
      </c>
      <c r="I6766" s="1">
        <v>26.65</v>
      </c>
      <c r="J6766" s="1">
        <v>26.65</v>
      </c>
      <c r="K6766" t="s">
        <v>6</v>
      </c>
    </row>
    <row r="6767" spans="1:12">
      <c r="A6767" t="s">
        <v>6837</v>
      </c>
      <c r="B6767">
        <v>483095</v>
      </c>
      <c r="C6767" s="2" t="str">
        <f>"SSWMS124/KD"</f>
        <v>SSWMS124/KD</v>
      </c>
      <c r="D6767" t="s">
        <v>6842</v>
      </c>
      <c r="E6767" t="s">
        <v>4</v>
      </c>
      <c r="F6767">
        <v>14</v>
      </c>
      <c r="H6767" t="s">
        <v>5</v>
      </c>
      <c r="I6767" s="1">
        <v>92.14</v>
      </c>
      <c r="J6767" s="1">
        <v>92.14</v>
      </c>
      <c r="K6767" t="s">
        <v>6</v>
      </c>
    </row>
    <row r="6768" spans="1:12">
      <c r="A6768" t="s">
        <v>6837</v>
      </c>
      <c r="B6768">
        <v>483107</v>
      </c>
      <c r="C6768" s="2" t="str">
        <f>"SSWMS125/KD"</f>
        <v>SSWMS125/KD</v>
      </c>
      <c r="D6768" t="s">
        <v>6843</v>
      </c>
      <c r="E6768" t="s">
        <v>4</v>
      </c>
      <c r="F6768">
        <v>17</v>
      </c>
      <c r="H6768" t="s">
        <v>5</v>
      </c>
      <c r="I6768" s="1">
        <v>97.19</v>
      </c>
      <c r="J6768" s="1">
        <v>97.19</v>
      </c>
      <c r="K6768" t="s">
        <v>6</v>
      </c>
    </row>
    <row r="6769" spans="1:12">
      <c r="A6769" t="s">
        <v>6837</v>
      </c>
      <c r="B6769">
        <v>502496</v>
      </c>
      <c r="C6769" s="2" t="str">
        <f>"WHP-1826WABS"</f>
        <v>WHP-1826WABS</v>
      </c>
      <c r="D6769" t="s">
        <v>6844</v>
      </c>
      <c r="E6769" t="s">
        <v>4</v>
      </c>
      <c r="F6769">
        <v>24</v>
      </c>
      <c r="H6769" t="s">
        <v>5</v>
      </c>
      <c r="I6769" s="1">
        <v>429.78</v>
      </c>
      <c r="J6769" s="1">
        <v>429.78</v>
      </c>
      <c r="K6769" t="s">
        <v>6</v>
      </c>
    </row>
    <row r="6770" spans="1:12">
      <c r="A6770" t="s">
        <v>6837</v>
      </c>
      <c r="B6770">
        <v>502495</v>
      </c>
      <c r="C6770" s="2" t="str">
        <f>"WHPL-8GY"</f>
        <v>WHPL-8GY</v>
      </c>
      <c r="D6770" t="s">
        <v>6845</v>
      </c>
      <c r="E6770" t="s">
        <v>4</v>
      </c>
      <c r="F6770">
        <v>6</v>
      </c>
      <c r="H6770" t="s">
        <v>5</v>
      </c>
      <c r="I6770" s="1">
        <v>92.63</v>
      </c>
      <c r="J6770" s="1">
        <v>92.63</v>
      </c>
      <c r="K6770" t="s">
        <v>6</v>
      </c>
    </row>
    <row r="6771" spans="1:12">
      <c r="A6771" t="s">
        <v>6837</v>
      </c>
      <c r="B6771">
        <v>483096</v>
      </c>
      <c r="C6771" s="2" t="str">
        <f>"WSHS-1410-5-F"</f>
        <v>WSHS-1410-5-F</v>
      </c>
      <c r="D6771" t="s">
        <v>6846</v>
      </c>
      <c r="E6771" t="s">
        <v>4</v>
      </c>
      <c r="F6771">
        <v>15</v>
      </c>
      <c r="H6771" t="s">
        <v>5</v>
      </c>
      <c r="I6771" s="1">
        <v>98.8</v>
      </c>
      <c r="J6771" s="1">
        <v>98.8</v>
      </c>
      <c r="K6771" t="s">
        <v>6</v>
      </c>
    </row>
    <row r="6772" spans="1:12">
      <c r="A6772" t="s">
        <v>6847</v>
      </c>
      <c r="B6772">
        <v>531093</v>
      </c>
      <c r="C6772" s="2" t="str">
        <f>"127-001"</f>
        <v>127-001</v>
      </c>
      <c r="D6772" t="s">
        <v>6848</v>
      </c>
      <c r="E6772" t="s">
        <v>4</v>
      </c>
      <c r="F6772">
        <v>41.04</v>
      </c>
      <c r="G6772">
        <v>3.42</v>
      </c>
      <c r="H6772" t="s">
        <v>106</v>
      </c>
      <c r="I6772" s="1">
        <v>16.600000000000001</v>
      </c>
      <c r="J6772" s="1">
        <v>16.43</v>
      </c>
      <c r="K6772" t="s">
        <v>4227</v>
      </c>
      <c r="L6772" s="1">
        <v>18.079999999999998</v>
      </c>
    </row>
    <row r="6773" spans="1:12">
      <c r="A6773" t="s">
        <v>6847</v>
      </c>
      <c r="B6773">
        <v>531094</v>
      </c>
      <c r="C6773" s="2" t="str">
        <f>"127-016"</f>
        <v>127-016</v>
      </c>
      <c r="D6773" t="s">
        <v>6849</v>
      </c>
      <c r="E6773" t="s">
        <v>4</v>
      </c>
      <c r="F6773">
        <v>41.04</v>
      </c>
      <c r="G6773">
        <v>3.42</v>
      </c>
      <c r="H6773" t="s">
        <v>106</v>
      </c>
      <c r="I6773" s="1">
        <v>20.27</v>
      </c>
      <c r="J6773" s="1">
        <v>20.059999999999999</v>
      </c>
      <c r="K6773" t="s">
        <v>4227</v>
      </c>
      <c r="L6773" s="1">
        <v>22.06</v>
      </c>
    </row>
    <row r="6774" spans="1:12">
      <c r="A6774" t="s">
        <v>6847</v>
      </c>
      <c r="B6774">
        <v>531139</v>
      </c>
      <c r="C6774" s="2" t="str">
        <f>"127-030"</f>
        <v>127-030</v>
      </c>
      <c r="D6774" t="s">
        <v>6850</v>
      </c>
      <c r="E6774" t="s">
        <v>4</v>
      </c>
      <c r="F6774">
        <v>48.96</v>
      </c>
      <c r="G6774">
        <v>4.08</v>
      </c>
      <c r="H6774" t="s">
        <v>106</v>
      </c>
      <c r="I6774" s="1">
        <v>20.27</v>
      </c>
      <c r="J6774" s="1">
        <v>20.059999999999999</v>
      </c>
      <c r="K6774" t="s">
        <v>4227</v>
      </c>
      <c r="L6774" s="1">
        <v>22.06</v>
      </c>
    </row>
    <row r="6775" spans="1:12">
      <c r="A6775" t="s">
        <v>6847</v>
      </c>
      <c r="B6775">
        <v>531148</v>
      </c>
      <c r="C6775" s="2" t="str">
        <f>"127-038"</f>
        <v>127-038</v>
      </c>
      <c r="D6775" t="s">
        <v>6851</v>
      </c>
      <c r="E6775" t="s">
        <v>4</v>
      </c>
      <c r="F6775">
        <v>39.96</v>
      </c>
      <c r="G6775">
        <v>3.33</v>
      </c>
      <c r="H6775" t="s">
        <v>106</v>
      </c>
      <c r="I6775" s="1">
        <v>21.5</v>
      </c>
      <c r="J6775" s="1">
        <v>21.29</v>
      </c>
      <c r="K6775" t="s">
        <v>4227</v>
      </c>
      <c r="L6775" s="1">
        <v>23.42</v>
      </c>
    </row>
    <row r="6776" spans="1:12">
      <c r="A6776" t="s">
        <v>6847</v>
      </c>
      <c r="B6776">
        <v>531122</v>
      </c>
      <c r="C6776" s="2" t="str">
        <f>"127-7922"</f>
        <v>127-7922</v>
      </c>
      <c r="D6776" t="s">
        <v>6852</v>
      </c>
      <c r="E6776" t="s">
        <v>4</v>
      </c>
      <c r="F6776">
        <v>41.04</v>
      </c>
      <c r="G6776">
        <v>2.2799999999999998</v>
      </c>
      <c r="H6776" t="s">
        <v>4041</v>
      </c>
      <c r="I6776" s="1">
        <v>10.61</v>
      </c>
      <c r="J6776" s="1">
        <v>10.5</v>
      </c>
      <c r="K6776" t="s">
        <v>1274</v>
      </c>
      <c r="L6776" s="1">
        <v>11.55</v>
      </c>
    </row>
    <row r="6777" spans="1:12">
      <c r="A6777" t="s">
        <v>6847</v>
      </c>
      <c r="B6777">
        <v>534442</v>
      </c>
      <c r="C6777" s="2" t="str">
        <f>"129-001"</f>
        <v>129-001</v>
      </c>
      <c r="D6777" t="s">
        <v>6853</v>
      </c>
      <c r="E6777" t="s">
        <v>4</v>
      </c>
      <c r="F6777">
        <v>39.96</v>
      </c>
      <c r="G6777">
        <v>3.33</v>
      </c>
      <c r="H6777" t="s">
        <v>106</v>
      </c>
      <c r="I6777" s="1">
        <v>69.5</v>
      </c>
      <c r="J6777" s="1">
        <v>66.03</v>
      </c>
      <c r="K6777" t="s">
        <v>4227</v>
      </c>
      <c r="L6777" s="1">
        <v>72.63</v>
      </c>
    </row>
    <row r="6778" spans="1:12">
      <c r="A6778" t="s">
        <v>6847</v>
      </c>
      <c r="B6778">
        <v>534450</v>
      </c>
      <c r="C6778" s="2" t="str">
        <f>"129-030"</f>
        <v>129-030</v>
      </c>
      <c r="D6778" t="s">
        <v>6854</v>
      </c>
      <c r="E6778" t="s">
        <v>4</v>
      </c>
      <c r="F6778">
        <v>42</v>
      </c>
      <c r="G6778">
        <v>3.5</v>
      </c>
      <c r="H6778" t="s">
        <v>106</v>
      </c>
      <c r="I6778" s="1">
        <v>90.56</v>
      </c>
      <c r="J6778" s="1">
        <v>86.03</v>
      </c>
      <c r="K6778" t="s">
        <v>4227</v>
      </c>
      <c r="L6778" s="1">
        <v>94.64</v>
      </c>
    </row>
    <row r="6779" spans="1:12">
      <c r="A6779" t="s">
        <v>6847</v>
      </c>
      <c r="B6779">
        <v>534445</v>
      </c>
      <c r="C6779" s="2" t="str">
        <f>"129-7922"</f>
        <v>129-7922</v>
      </c>
      <c r="D6779" t="s">
        <v>6855</v>
      </c>
      <c r="E6779" t="s">
        <v>4</v>
      </c>
      <c r="F6779">
        <v>46.98</v>
      </c>
      <c r="G6779">
        <v>2.61</v>
      </c>
      <c r="H6779" t="s">
        <v>4041</v>
      </c>
      <c r="I6779" s="1">
        <v>60.79</v>
      </c>
      <c r="J6779" s="1">
        <v>57.76</v>
      </c>
      <c r="K6779" t="s">
        <v>1274</v>
      </c>
      <c r="L6779" s="1">
        <v>63.53</v>
      </c>
    </row>
    <row r="6780" spans="1:12">
      <c r="A6780" t="s">
        <v>6847</v>
      </c>
      <c r="B6780">
        <v>531161</v>
      </c>
      <c r="C6780" s="2" t="str">
        <f>"130-001"</f>
        <v>130-001</v>
      </c>
      <c r="D6780" t="s">
        <v>6856</v>
      </c>
      <c r="E6780" t="s">
        <v>4</v>
      </c>
      <c r="F6780">
        <v>35.04</v>
      </c>
      <c r="G6780">
        <v>2.92</v>
      </c>
      <c r="H6780" t="s">
        <v>106</v>
      </c>
      <c r="I6780" s="1">
        <v>15.33</v>
      </c>
      <c r="J6780" s="1">
        <v>15.17</v>
      </c>
      <c r="K6780" t="s">
        <v>4227</v>
      </c>
      <c r="L6780" s="1">
        <v>16.690000000000001</v>
      </c>
    </row>
    <row r="6781" spans="1:12">
      <c r="A6781" t="s">
        <v>6847</v>
      </c>
      <c r="B6781">
        <v>531162</v>
      </c>
      <c r="C6781" s="2" t="str">
        <f>"130-002"</f>
        <v>130-002</v>
      </c>
      <c r="D6781" t="s">
        <v>6857</v>
      </c>
      <c r="E6781" t="s">
        <v>4</v>
      </c>
      <c r="F6781">
        <v>42</v>
      </c>
      <c r="G6781">
        <v>3.5</v>
      </c>
      <c r="H6781" t="s">
        <v>106</v>
      </c>
      <c r="I6781" s="1">
        <v>21.58</v>
      </c>
      <c r="J6781" s="1">
        <v>21.36</v>
      </c>
      <c r="K6781" t="s">
        <v>4227</v>
      </c>
      <c r="L6781" s="1">
        <v>23.49</v>
      </c>
    </row>
    <row r="6782" spans="1:12">
      <c r="A6782" t="s">
        <v>6847</v>
      </c>
      <c r="B6782">
        <v>531164</v>
      </c>
      <c r="C6782" s="2" t="str">
        <f>"130-003"</f>
        <v>130-003</v>
      </c>
      <c r="D6782" t="s">
        <v>6858</v>
      </c>
      <c r="E6782" t="s">
        <v>4</v>
      </c>
      <c r="F6782">
        <v>34</v>
      </c>
      <c r="G6782">
        <v>8.5</v>
      </c>
      <c r="H6782" t="s">
        <v>153</v>
      </c>
      <c r="I6782" s="1">
        <v>31.32</v>
      </c>
      <c r="J6782" s="1">
        <v>30.99</v>
      </c>
      <c r="K6782" t="s">
        <v>4227</v>
      </c>
      <c r="L6782" s="1">
        <v>34.090000000000003</v>
      </c>
    </row>
    <row r="6783" spans="1:12">
      <c r="A6783" t="s">
        <v>6847</v>
      </c>
      <c r="B6783">
        <v>534438</v>
      </c>
      <c r="C6783" s="2" t="str">
        <f>"130-016"</f>
        <v>130-016</v>
      </c>
      <c r="D6783" t="s">
        <v>6859</v>
      </c>
      <c r="E6783" t="s">
        <v>4</v>
      </c>
      <c r="F6783">
        <v>35.04</v>
      </c>
      <c r="G6783">
        <v>2.92</v>
      </c>
      <c r="H6783" t="s">
        <v>106</v>
      </c>
      <c r="I6783" s="1">
        <v>20.89</v>
      </c>
      <c r="J6783" s="1">
        <v>20.68</v>
      </c>
      <c r="K6783" t="s">
        <v>4227</v>
      </c>
      <c r="L6783" s="1">
        <v>22.75</v>
      </c>
    </row>
    <row r="6784" spans="1:12">
      <c r="A6784" t="s">
        <v>6847</v>
      </c>
      <c r="B6784">
        <v>531140</v>
      </c>
      <c r="C6784" s="2" t="str">
        <f>"130-030"</f>
        <v>130-030</v>
      </c>
      <c r="D6784" t="s">
        <v>6860</v>
      </c>
      <c r="E6784" t="s">
        <v>4</v>
      </c>
      <c r="F6784">
        <v>39</v>
      </c>
      <c r="G6784">
        <v>3.25</v>
      </c>
      <c r="H6784" t="s">
        <v>106</v>
      </c>
      <c r="I6784" s="1">
        <v>21.54</v>
      </c>
      <c r="J6784" s="1">
        <v>21.33</v>
      </c>
      <c r="K6784" t="s">
        <v>4227</v>
      </c>
      <c r="L6784" s="1">
        <v>23.47</v>
      </c>
    </row>
    <row r="6785" spans="1:12">
      <c r="A6785" t="s">
        <v>6847</v>
      </c>
      <c r="B6785">
        <v>531150</v>
      </c>
      <c r="C6785" s="2" t="str">
        <f>"130-038"</f>
        <v>130-038</v>
      </c>
      <c r="D6785" t="s">
        <v>6861</v>
      </c>
      <c r="E6785" t="s">
        <v>4</v>
      </c>
      <c r="F6785">
        <v>29.04</v>
      </c>
      <c r="G6785">
        <v>2.42</v>
      </c>
      <c r="H6785" t="s">
        <v>106</v>
      </c>
      <c r="I6785" s="1">
        <v>16.8</v>
      </c>
      <c r="J6785" s="1">
        <v>16.63</v>
      </c>
      <c r="K6785" t="s">
        <v>4227</v>
      </c>
      <c r="L6785" s="1">
        <v>18.29</v>
      </c>
    </row>
    <row r="6786" spans="1:12">
      <c r="A6786" t="s">
        <v>6847</v>
      </c>
      <c r="B6786">
        <v>531277</v>
      </c>
      <c r="C6786" s="2" t="str">
        <f>"130-5262"</f>
        <v>130-5262</v>
      </c>
      <c r="D6786" t="s">
        <v>6862</v>
      </c>
      <c r="E6786" t="s">
        <v>4</v>
      </c>
      <c r="F6786">
        <v>34.020000000000003</v>
      </c>
      <c r="G6786">
        <v>1.89</v>
      </c>
      <c r="H6786" t="s">
        <v>4041</v>
      </c>
      <c r="I6786" s="1">
        <v>13.03</v>
      </c>
      <c r="J6786" s="1">
        <v>12.9</v>
      </c>
      <c r="K6786" t="s">
        <v>1274</v>
      </c>
      <c r="L6786" s="1">
        <v>14.19</v>
      </c>
    </row>
    <row r="6787" spans="1:12">
      <c r="A6787" t="s">
        <v>6847</v>
      </c>
      <c r="B6787">
        <v>531123</v>
      </c>
      <c r="C6787" s="2" t="str">
        <f>"132-001"</f>
        <v>132-001</v>
      </c>
      <c r="D6787" t="s">
        <v>6863</v>
      </c>
      <c r="E6787" t="s">
        <v>4</v>
      </c>
      <c r="F6787">
        <v>51.12</v>
      </c>
      <c r="G6787">
        <v>2.13</v>
      </c>
      <c r="H6787" t="s">
        <v>666</v>
      </c>
      <c r="I6787" s="1">
        <v>12.7</v>
      </c>
      <c r="J6787" s="1">
        <v>12.57</v>
      </c>
      <c r="K6787" t="s">
        <v>4227</v>
      </c>
      <c r="L6787" s="1">
        <v>13.83</v>
      </c>
    </row>
    <row r="6788" spans="1:12">
      <c r="A6788" t="s">
        <v>6847</v>
      </c>
      <c r="B6788">
        <v>531125</v>
      </c>
      <c r="C6788" s="2" t="str">
        <f>"132-002"</f>
        <v>132-002</v>
      </c>
      <c r="D6788" t="s">
        <v>6864</v>
      </c>
      <c r="E6788" t="s">
        <v>4</v>
      </c>
      <c r="F6788">
        <v>39.96</v>
      </c>
      <c r="G6788">
        <v>3.33</v>
      </c>
      <c r="H6788" t="s">
        <v>106</v>
      </c>
      <c r="I6788" s="1">
        <v>20.54</v>
      </c>
      <c r="J6788" s="1">
        <v>20.329999999999998</v>
      </c>
      <c r="K6788" t="s">
        <v>4227</v>
      </c>
      <c r="L6788" s="1">
        <v>22.37</v>
      </c>
    </row>
    <row r="6789" spans="1:12">
      <c r="A6789" t="s">
        <v>6847</v>
      </c>
      <c r="B6789">
        <v>531127</v>
      </c>
      <c r="C6789" s="2" t="str">
        <f>"132-016"</f>
        <v>132-016</v>
      </c>
      <c r="D6789" t="s">
        <v>6865</v>
      </c>
      <c r="E6789" t="s">
        <v>4</v>
      </c>
      <c r="F6789">
        <v>29.04</v>
      </c>
      <c r="G6789">
        <v>2.42</v>
      </c>
      <c r="H6789" t="s">
        <v>106</v>
      </c>
      <c r="I6789" s="1">
        <v>17.64</v>
      </c>
      <c r="J6789" s="1">
        <v>17.47</v>
      </c>
      <c r="K6789" t="s">
        <v>4227</v>
      </c>
      <c r="L6789" s="1">
        <v>19.22</v>
      </c>
    </row>
    <row r="6790" spans="1:12">
      <c r="A6790" t="s">
        <v>6847</v>
      </c>
      <c r="B6790">
        <v>531144</v>
      </c>
      <c r="C6790" s="2" t="str">
        <f>"132-030"</f>
        <v>132-030</v>
      </c>
      <c r="D6790" t="s">
        <v>6866</v>
      </c>
      <c r="E6790" t="s">
        <v>4</v>
      </c>
      <c r="F6790">
        <v>39.96</v>
      </c>
      <c r="G6790">
        <v>3.33</v>
      </c>
      <c r="H6790" t="s">
        <v>106</v>
      </c>
      <c r="I6790" s="1">
        <v>17.84</v>
      </c>
      <c r="J6790" s="1">
        <v>17.649999999999999</v>
      </c>
      <c r="K6790" t="s">
        <v>4227</v>
      </c>
      <c r="L6790" s="1">
        <v>19.420000000000002</v>
      </c>
    </row>
    <row r="6791" spans="1:12">
      <c r="A6791" t="s">
        <v>6847</v>
      </c>
      <c r="B6791">
        <v>531145</v>
      </c>
      <c r="C6791" s="2" t="str">
        <f>"132-0304"</f>
        <v>132-0304</v>
      </c>
      <c r="D6791" t="s">
        <v>6867</v>
      </c>
      <c r="E6791" t="s">
        <v>4</v>
      </c>
      <c r="F6791">
        <v>39.96</v>
      </c>
      <c r="G6791">
        <v>3.33</v>
      </c>
      <c r="H6791" t="s">
        <v>106</v>
      </c>
      <c r="I6791" s="1">
        <v>19.54</v>
      </c>
      <c r="J6791" s="1">
        <v>19.34</v>
      </c>
      <c r="K6791" t="s">
        <v>4227</v>
      </c>
      <c r="L6791" s="1">
        <v>21.28</v>
      </c>
    </row>
    <row r="6792" spans="1:12">
      <c r="A6792" t="s">
        <v>6847</v>
      </c>
      <c r="B6792">
        <v>531158</v>
      </c>
      <c r="C6792" s="2" t="str">
        <f>"132-038"</f>
        <v>132-038</v>
      </c>
      <c r="D6792" t="s">
        <v>6868</v>
      </c>
      <c r="E6792" t="s">
        <v>4</v>
      </c>
      <c r="F6792">
        <v>24</v>
      </c>
      <c r="G6792">
        <v>2</v>
      </c>
      <c r="H6792" t="s">
        <v>106</v>
      </c>
      <c r="I6792" s="1">
        <v>19.03</v>
      </c>
      <c r="J6792" s="1">
        <v>18.84</v>
      </c>
      <c r="K6792" t="s">
        <v>4227</v>
      </c>
      <c r="L6792" s="1">
        <v>20.72</v>
      </c>
    </row>
    <row r="6793" spans="1:12">
      <c r="A6793" t="s">
        <v>6847</v>
      </c>
      <c r="B6793">
        <v>531133</v>
      </c>
      <c r="C6793" s="2" t="str">
        <f>"132-5262"</f>
        <v>132-5262</v>
      </c>
      <c r="D6793" t="s">
        <v>6869</v>
      </c>
      <c r="E6793" t="s">
        <v>4</v>
      </c>
      <c r="F6793">
        <v>37.979999999999997</v>
      </c>
      <c r="G6793">
        <v>2.11</v>
      </c>
      <c r="H6793" t="s">
        <v>4041</v>
      </c>
      <c r="I6793" s="1">
        <v>10.89</v>
      </c>
      <c r="J6793" s="1">
        <v>10.78</v>
      </c>
      <c r="K6793" t="s">
        <v>1274</v>
      </c>
      <c r="L6793" s="1">
        <v>11.85</v>
      </c>
    </row>
    <row r="6794" spans="1:12">
      <c r="A6794" t="s">
        <v>6847</v>
      </c>
      <c r="B6794">
        <v>531297</v>
      </c>
      <c r="C6794" s="2" t="str">
        <f>"134-001"</f>
        <v>134-001</v>
      </c>
      <c r="D6794" t="s">
        <v>6870</v>
      </c>
      <c r="E6794" t="s">
        <v>4</v>
      </c>
      <c r="F6794">
        <v>51.12</v>
      </c>
      <c r="G6794">
        <v>2.13</v>
      </c>
      <c r="H6794" t="s">
        <v>666</v>
      </c>
      <c r="I6794" s="1">
        <v>7.41</v>
      </c>
      <c r="J6794" s="1">
        <v>7.33</v>
      </c>
      <c r="K6794" t="s">
        <v>4227</v>
      </c>
      <c r="L6794" s="1">
        <v>8.07</v>
      </c>
    </row>
    <row r="6795" spans="1:12">
      <c r="A6795" t="s">
        <v>6847</v>
      </c>
      <c r="B6795">
        <v>531288</v>
      </c>
      <c r="C6795" s="2" t="str">
        <f>"134-002"</f>
        <v>134-002</v>
      </c>
      <c r="D6795" t="s">
        <v>6871</v>
      </c>
      <c r="E6795" t="s">
        <v>4</v>
      </c>
      <c r="F6795">
        <v>33.96</v>
      </c>
      <c r="G6795">
        <v>2.83</v>
      </c>
      <c r="H6795" t="s">
        <v>106</v>
      </c>
      <c r="I6795" s="1">
        <v>13.01</v>
      </c>
      <c r="J6795" s="1">
        <v>12.88</v>
      </c>
      <c r="K6795" t="s">
        <v>4227</v>
      </c>
      <c r="L6795" s="1">
        <v>14.17</v>
      </c>
    </row>
    <row r="6796" spans="1:12">
      <c r="A6796" t="s">
        <v>6847</v>
      </c>
      <c r="B6796">
        <v>531284</v>
      </c>
      <c r="C6796" s="2" t="str">
        <f>"134-016"</f>
        <v>134-016</v>
      </c>
      <c r="D6796" t="s">
        <v>6872</v>
      </c>
      <c r="E6796" t="s">
        <v>4</v>
      </c>
      <c r="F6796">
        <v>25.92</v>
      </c>
      <c r="G6796">
        <v>2.16</v>
      </c>
      <c r="H6796" t="s">
        <v>106</v>
      </c>
      <c r="I6796" s="1">
        <v>9.0399999999999991</v>
      </c>
      <c r="J6796" s="1">
        <v>8.94</v>
      </c>
      <c r="K6796" t="s">
        <v>4227</v>
      </c>
      <c r="L6796" s="1">
        <v>9.84</v>
      </c>
    </row>
    <row r="6797" spans="1:12">
      <c r="A6797" t="s">
        <v>6847</v>
      </c>
      <c r="B6797">
        <v>531141</v>
      </c>
      <c r="C6797" s="2" t="str">
        <f>"134-030"</f>
        <v>134-030</v>
      </c>
      <c r="D6797" t="s">
        <v>6873</v>
      </c>
      <c r="E6797" t="s">
        <v>4</v>
      </c>
      <c r="F6797">
        <v>30.96</v>
      </c>
      <c r="G6797">
        <v>2.58</v>
      </c>
      <c r="H6797" t="s">
        <v>106</v>
      </c>
      <c r="I6797" s="1">
        <v>10.15</v>
      </c>
      <c r="J6797" s="1">
        <v>10.050000000000001</v>
      </c>
      <c r="K6797" t="s">
        <v>4227</v>
      </c>
      <c r="L6797" s="1">
        <v>11.05</v>
      </c>
    </row>
    <row r="6798" spans="1:12">
      <c r="A6798" t="s">
        <v>6847</v>
      </c>
      <c r="B6798">
        <v>531280</v>
      </c>
      <c r="C6798" s="2" t="str">
        <f>"134-5262"</f>
        <v>134-5262</v>
      </c>
      <c r="D6798" t="s">
        <v>6874</v>
      </c>
      <c r="E6798" t="s">
        <v>4</v>
      </c>
      <c r="F6798">
        <v>31.86</v>
      </c>
      <c r="G6798">
        <v>1.77</v>
      </c>
      <c r="H6798" t="s">
        <v>4041</v>
      </c>
      <c r="I6798" s="1">
        <v>7.38</v>
      </c>
      <c r="J6798" s="1">
        <v>7.32</v>
      </c>
      <c r="K6798" t="s">
        <v>1274</v>
      </c>
      <c r="L6798" s="1">
        <v>8.0500000000000007</v>
      </c>
    </row>
    <row r="6799" spans="1:12">
      <c r="A6799" t="s">
        <v>6847</v>
      </c>
      <c r="B6799">
        <v>466580</v>
      </c>
      <c r="C6799" s="2" t="str">
        <f>"135-016"</f>
        <v>135-016</v>
      </c>
      <c r="D6799" t="s">
        <v>6875</v>
      </c>
      <c r="E6799" t="s">
        <v>4</v>
      </c>
      <c r="F6799">
        <v>1.92</v>
      </c>
      <c r="H6799" t="s">
        <v>5</v>
      </c>
      <c r="I6799" s="1">
        <v>28.5</v>
      </c>
      <c r="J6799" s="1">
        <v>28.21</v>
      </c>
      <c r="K6799" t="s">
        <v>6</v>
      </c>
    </row>
    <row r="6800" spans="1:12">
      <c r="A6800" t="s">
        <v>6847</v>
      </c>
      <c r="B6800">
        <v>466582</v>
      </c>
      <c r="C6800" s="2" t="str">
        <f>"135-030"</f>
        <v>135-030</v>
      </c>
      <c r="D6800" t="s">
        <v>6876</v>
      </c>
      <c r="E6800" t="s">
        <v>4</v>
      </c>
      <c r="F6800">
        <v>2.67</v>
      </c>
      <c r="H6800" t="s">
        <v>5</v>
      </c>
      <c r="I6800" s="1">
        <v>28.5</v>
      </c>
      <c r="J6800" s="1">
        <v>28.21</v>
      </c>
      <c r="K6800" t="s">
        <v>6</v>
      </c>
    </row>
    <row r="6801" spans="1:12">
      <c r="A6801" t="s">
        <v>6847</v>
      </c>
      <c r="B6801">
        <v>466583</v>
      </c>
      <c r="C6801" s="2" t="str">
        <f>"135-5262"</f>
        <v>135-5262</v>
      </c>
      <c r="D6801" t="s">
        <v>6877</v>
      </c>
      <c r="E6801" t="s">
        <v>4</v>
      </c>
      <c r="F6801">
        <v>1.83</v>
      </c>
      <c r="H6801" t="s">
        <v>5</v>
      </c>
      <c r="I6801" s="1">
        <v>16.07</v>
      </c>
      <c r="J6801" s="1">
        <v>15.9</v>
      </c>
      <c r="K6801" t="s">
        <v>6</v>
      </c>
    </row>
    <row r="6802" spans="1:12">
      <c r="A6802" t="s">
        <v>6847</v>
      </c>
      <c r="B6802">
        <v>398290</v>
      </c>
      <c r="C6802" s="2" t="str">
        <f>"136-001"</f>
        <v>136-001</v>
      </c>
      <c r="D6802" t="s">
        <v>6878</v>
      </c>
      <c r="E6802" t="s">
        <v>4</v>
      </c>
      <c r="F6802">
        <v>2.83</v>
      </c>
      <c r="H6802" t="s">
        <v>5</v>
      </c>
      <c r="I6802" s="1">
        <v>15.21</v>
      </c>
      <c r="J6802" s="1">
        <v>15.05</v>
      </c>
      <c r="K6802" t="s">
        <v>6</v>
      </c>
    </row>
    <row r="6803" spans="1:12">
      <c r="A6803" t="s">
        <v>6847</v>
      </c>
      <c r="B6803">
        <v>531088</v>
      </c>
      <c r="C6803" s="2" t="str">
        <f>"136-016"</f>
        <v>136-016</v>
      </c>
      <c r="D6803" t="s">
        <v>6879</v>
      </c>
      <c r="E6803" t="s">
        <v>4</v>
      </c>
      <c r="F6803">
        <v>33.96</v>
      </c>
      <c r="G6803">
        <v>2.83</v>
      </c>
      <c r="H6803" t="s">
        <v>106</v>
      </c>
      <c r="I6803" s="1">
        <v>17.149999999999999</v>
      </c>
      <c r="J6803" s="1">
        <v>16.97</v>
      </c>
      <c r="K6803" t="s">
        <v>4227</v>
      </c>
      <c r="L6803" s="1">
        <v>18.66</v>
      </c>
    </row>
    <row r="6804" spans="1:12">
      <c r="A6804" t="s">
        <v>6847</v>
      </c>
      <c r="B6804">
        <v>531089</v>
      </c>
      <c r="C6804" s="2" t="str">
        <f>"136-021"</f>
        <v>136-021</v>
      </c>
      <c r="D6804" t="s">
        <v>6880</v>
      </c>
      <c r="E6804" t="s">
        <v>4</v>
      </c>
      <c r="F6804">
        <v>36.96</v>
      </c>
      <c r="G6804">
        <v>3.08</v>
      </c>
      <c r="H6804" t="s">
        <v>106</v>
      </c>
      <c r="I6804" s="1">
        <v>17.149999999999999</v>
      </c>
      <c r="J6804" s="1">
        <v>16.97</v>
      </c>
      <c r="K6804" t="s">
        <v>4227</v>
      </c>
      <c r="L6804" s="1">
        <v>18.66</v>
      </c>
    </row>
    <row r="6805" spans="1:12">
      <c r="A6805" t="s">
        <v>6847</v>
      </c>
      <c r="B6805">
        <v>531137</v>
      </c>
      <c r="C6805" s="2" t="str">
        <f>"136-030"</f>
        <v>136-030</v>
      </c>
      <c r="D6805" t="s">
        <v>6881</v>
      </c>
      <c r="E6805" t="s">
        <v>4</v>
      </c>
      <c r="F6805">
        <v>37.92</v>
      </c>
      <c r="G6805">
        <v>3.16</v>
      </c>
      <c r="H6805" t="s">
        <v>106</v>
      </c>
      <c r="I6805" s="1">
        <v>17.149999999999999</v>
      </c>
      <c r="J6805" s="1">
        <v>16.97</v>
      </c>
      <c r="K6805" t="s">
        <v>4227</v>
      </c>
      <c r="L6805" s="1">
        <v>18.66</v>
      </c>
    </row>
    <row r="6806" spans="1:12">
      <c r="A6806" t="s">
        <v>6847</v>
      </c>
      <c r="B6806">
        <v>531147</v>
      </c>
      <c r="C6806" s="2" t="str">
        <f>"136-038"</f>
        <v>136-038</v>
      </c>
      <c r="D6806" t="s">
        <v>6882</v>
      </c>
      <c r="E6806" t="s">
        <v>4</v>
      </c>
      <c r="F6806">
        <v>33</v>
      </c>
      <c r="G6806">
        <v>2.75</v>
      </c>
      <c r="H6806" t="s">
        <v>106</v>
      </c>
      <c r="I6806" s="1">
        <v>17.149999999999999</v>
      </c>
      <c r="J6806" s="1">
        <v>16.97</v>
      </c>
      <c r="K6806" t="s">
        <v>4227</v>
      </c>
      <c r="L6806" s="1">
        <v>18.66</v>
      </c>
    </row>
    <row r="6807" spans="1:12">
      <c r="A6807" t="s">
        <v>6847</v>
      </c>
      <c r="B6807">
        <v>531090</v>
      </c>
      <c r="C6807" s="2" t="str">
        <f>"136-5262"</f>
        <v>136-5262</v>
      </c>
      <c r="D6807" t="s">
        <v>6883</v>
      </c>
      <c r="E6807" t="s">
        <v>4</v>
      </c>
      <c r="F6807">
        <v>32.94</v>
      </c>
      <c r="G6807">
        <v>1.83</v>
      </c>
      <c r="H6807" t="s">
        <v>4041</v>
      </c>
      <c r="I6807" s="1">
        <v>9.14</v>
      </c>
      <c r="J6807" s="1">
        <v>9.0500000000000007</v>
      </c>
      <c r="K6807" t="s">
        <v>1274</v>
      </c>
      <c r="L6807" s="1">
        <v>9.9499999999999993</v>
      </c>
    </row>
    <row r="6808" spans="1:12">
      <c r="A6808" t="s">
        <v>6847</v>
      </c>
      <c r="B6808">
        <v>531299</v>
      </c>
      <c r="C6808" s="2" t="str">
        <f>"138-001"</f>
        <v>138-001</v>
      </c>
      <c r="D6808" t="s">
        <v>6884</v>
      </c>
      <c r="E6808" t="s">
        <v>4</v>
      </c>
      <c r="F6808">
        <v>51.12</v>
      </c>
      <c r="G6808">
        <v>2.13</v>
      </c>
      <c r="H6808" t="s">
        <v>666</v>
      </c>
      <c r="I6808" s="1">
        <v>12.13</v>
      </c>
      <c r="J6808" s="1">
        <v>12</v>
      </c>
      <c r="K6808" t="s">
        <v>4227</v>
      </c>
      <c r="L6808" s="1">
        <v>13.2</v>
      </c>
    </row>
    <row r="6809" spans="1:12">
      <c r="A6809" t="s">
        <v>6847</v>
      </c>
      <c r="B6809">
        <v>531286</v>
      </c>
      <c r="C6809" s="2" t="str">
        <f>"138-016"</f>
        <v>138-016</v>
      </c>
      <c r="D6809" t="s">
        <v>6885</v>
      </c>
      <c r="E6809" t="s">
        <v>4</v>
      </c>
      <c r="F6809">
        <v>45</v>
      </c>
      <c r="G6809">
        <v>3.75</v>
      </c>
      <c r="H6809" t="s">
        <v>106</v>
      </c>
      <c r="I6809" s="1">
        <v>13.82</v>
      </c>
      <c r="J6809" s="1">
        <v>13.69</v>
      </c>
      <c r="K6809" t="s">
        <v>4227</v>
      </c>
      <c r="L6809" s="1">
        <v>15.06</v>
      </c>
    </row>
    <row r="6810" spans="1:12">
      <c r="A6810" t="s">
        <v>6847</v>
      </c>
      <c r="B6810">
        <v>531142</v>
      </c>
      <c r="C6810" s="2" t="str">
        <f>"138-030"</f>
        <v>138-030</v>
      </c>
      <c r="D6810" t="s">
        <v>6886</v>
      </c>
      <c r="E6810" t="s">
        <v>4</v>
      </c>
      <c r="F6810">
        <v>39.96</v>
      </c>
      <c r="G6810">
        <v>3.33</v>
      </c>
      <c r="H6810" t="s">
        <v>106</v>
      </c>
      <c r="I6810" s="1">
        <v>15.52</v>
      </c>
      <c r="J6810" s="1">
        <v>15.37</v>
      </c>
      <c r="K6810" t="s">
        <v>4227</v>
      </c>
      <c r="L6810" s="1">
        <v>16.899999999999999</v>
      </c>
    </row>
    <row r="6811" spans="1:12">
      <c r="A6811" t="s">
        <v>6847</v>
      </c>
      <c r="B6811">
        <v>534440</v>
      </c>
      <c r="C6811" s="2" t="str">
        <f>"138-5262"</f>
        <v>138-5262</v>
      </c>
      <c r="D6811" t="s">
        <v>6887</v>
      </c>
      <c r="E6811" t="s">
        <v>4</v>
      </c>
      <c r="F6811">
        <v>32.04</v>
      </c>
      <c r="G6811">
        <v>1.78</v>
      </c>
      <c r="H6811" t="s">
        <v>4041</v>
      </c>
      <c r="I6811" s="1">
        <v>10.18</v>
      </c>
      <c r="J6811" s="1">
        <v>10.08</v>
      </c>
      <c r="K6811" t="s">
        <v>1274</v>
      </c>
      <c r="L6811" s="1">
        <v>11.08</v>
      </c>
    </row>
    <row r="6812" spans="1:12">
      <c r="A6812" t="s">
        <v>6847</v>
      </c>
      <c r="B6812">
        <v>464430</v>
      </c>
      <c r="C6812" s="2" t="str">
        <f>"141-001"</f>
        <v>141-001</v>
      </c>
      <c r="D6812" t="s">
        <v>6888</v>
      </c>
      <c r="E6812" t="s">
        <v>4</v>
      </c>
      <c r="F6812">
        <v>1.94</v>
      </c>
      <c r="H6812" t="s">
        <v>5</v>
      </c>
      <c r="I6812" s="1">
        <v>5.72</v>
      </c>
      <c r="J6812" s="1">
        <v>5.66</v>
      </c>
      <c r="K6812" t="s">
        <v>6</v>
      </c>
    </row>
    <row r="6813" spans="1:12">
      <c r="A6813" t="s">
        <v>6847</v>
      </c>
      <c r="B6813">
        <v>464431</v>
      </c>
      <c r="C6813" s="2" t="str">
        <f>"141-016"</f>
        <v>141-016</v>
      </c>
      <c r="D6813" t="s">
        <v>6889</v>
      </c>
      <c r="E6813" t="s">
        <v>4</v>
      </c>
      <c r="F6813">
        <v>1.83</v>
      </c>
      <c r="H6813" t="s">
        <v>5</v>
      </c>
      <c r="I6813" s="1">
        <v>7.2</v>
      </c>
      <c r="J6813" s="1">
        <v>7.14</v>
      </c>
      <c r="K6813" t="s">
        <v>6</v>
      </c>
    </row>
    <row r="6814" spans="1:12">
      <c r="A6814" t="s">
        <v>6847</v>
      </c>
      <c r="B6814">
        <v>507694</v>
      </c>
      <c r="C6814" s="2" t="str">
        <f>"141-021"</f>
        <v>141-021</v>
      </c>
      <c r="D6814" t="s">
        <v>6890</v>
      </c>
      <c r="E6814" t="s">
        <v>4</v>
      </c>
      <c r="F6814">
        <v>2.66</v>
      </c>
      <c r="H6814" t="s">
        <v>5</v>
      </c>
      <c r="I6814" s="1">
        <v>7.2</v>
      </c>
      <c r="J6814" s="1">
        <v>7.14</v>
      </c>
      <c r="K6814" t="s">
        <v>6</v>
      </c>
    </row>
    <row r="6815" spans="1:12">
      <c r="A6815" t="s">
        <v>6847</v>
      </c>
      <c r="B6815">
        <v>464432</v>
      </c>
      <c r="C6815" s="2" t="str">
        <f>"141-030"</f>
        <v>141-030</v>
      </c>
      <c r="D6815" t="s">
        <v>6891</v>
      </c>
      <c r="E6815" t="s">
        <v>4</v>
      </c>
      <c r="F6815">
        <v>2.42</v>
      </c>
      <c r="H6815" t="s">
        <v>5</v>
      </c>
      <c r="I6815" s="1">
        <v>7.2</v>
      </c>
      <c r="J6815" s="1">
        <v>7.14</v>
      </c>
      <c r="K6815" t="s">
        <v>6</v>
      </c>
    </row>
    <row r="6816" spans="1:12">
      <c r="A6816" t="s">
        <v>6847</v>
      </c>
      <c r="B6816">
        <v>464433</v>
      </c>
      <c r="C6816" s="2" t="str">
        <f>"141-5262"</f>
        <v>141-5262</v>
      </c>
      <c r="D6816" t="s">
        <v>6892</v>
      </c>
      <c r="E6816" t="s">
        <v>4</v>
      </c>
      <c r="F6816">
        <v>1.94</v>
      </c>
      <c r="H6816" t="s">
        <v>5</v>
      </c>
      <c r="I6816" s="1">
        <v>14.76</v>
      </c>
      <c r="J6816" s="1">
        <v>14.6</v>
      </c>
      <c r="K6816" t="s">
        <v>6</v>
      </c>
    </row>
    <row r="6817" spans="1:12">
      <c r="A6817" t="s">
        <v>6847</v>
      </c>
      <c r="B6817">
        <v>489622</v>
      </c>
      <c r="C6817" s="2" t="str">
        <f>"145-001"</f>
        <v>145-001</v>
      </c>
      <c r="D6817" t="s">
        <v>6893</v>
      </c>
      <c r="E6817" t="s">
        <v>4</v>
      </c>
      <c r="F6817">
        <v>4.33</v>
      </c>
      <c r="H6817" t="s">
        <v>5</v>
      </c>
      <c r="I6817" s="1">
        <v>26.44</v>
      </c>
      <c r="J6817" s="1">
        <v>26.18</v>
      </c>
      <c r="K6817" t="s">
        <v>6</v>
      </c>
    </row>
    <row r="6818" spans="1:12">
      <c r="A6818" t="s">
        <v>6847</v>
      </c>
      <c r="B6818">
        <v>489623</v>
      </c>
      <c r="C6818" s="2" t="str">
        <f>"145-016"</f>
        <v>145-016</v>
      </c>
      <c r="D6818" t="s">
        <v>6894</v>
      </c>
      <c r="E6818" t="s">
        <v>4</v>
      </c>
      <c r="F6818">
        <v>2.17</v>
      </c>
      <c r="H6818" t="s">
        <v>5</v>
      </c>
      <c r="I6818" s="1">
        <v>34.79</v>
      </c>
      <c r="J6818" s="1">
        <v>34.44</v>
      </c>
      <c r="K6818" t="s">
        <v>6</v>
      </c>
    </row>
    <row r="6819" spans="1:12">
      <c r="A6819" t="s">
        <v>6847</v>
      </c>
      <c r="B6819">
        <v>489617</v>
      </c>
      <c r="C6819" s="2" t="str">
        <f>"145-021"</f>
        <v>145-021</v>
      </c>
      <c r="D6819" t="s">
        <v>6895</v>
      </c>
      <c r="E6819" t="s">
        <v>4</v>
      </c>
      <c r="F6819">
        <v>2.33</v>
      </c>
      <c r="H6819" t="s">
        <v>5</v>
      </c>
      <c r="I6819" s="1">
        <v>34.79</v>
      </c>
      <c r="J6819" s="1">
        <v>34.44</v>
      </c>
      <c r="K6819" t="s">
        <v>6</v>
      </c>
    </row>
    <row r="6820" spans="1:12">
      <c r="A6820" t="s">
        <v>6847</v>
      </c>
      <c r="B6820">
        <v>489618</v>
      </c>
      <c r="C6820" s="2" t="str">
        <f>"145-029"</f>
        <v>145-029</v>
      </c>
      <c r="D6820" t="s">
        <v>6896</v>
      </c>
      <c r="E6820" t="s">
        <v>4</v>
      </c>
      <c r="F6820">
        <v>1.5</v>
      </c>
      <c r="H6820" t="s">
        <v>5</v>
      </c>
      <c r="I6820" s="1">
        <v>34.79</v>
      </c>
      <c r="J6820" s="1">
        <v>34.44</v>
      </c>
      <c r="K6820" t="s">
        <v>6</v>
      </c>
    </row>
    <row r="6821" spans="1:12">
      <c r="A6821" t="s">
        <v>6847</v>
      </c>
      <c r="B6821">
        <v>489619</v>
      </c>
      <c r="C6821" s="2" t="str">
        <f>"145-030"</f>
        <v>145-030</v>
      </c>
      <c r="D6821" t="s">
        <v>6897</v>
      </c>
      <c r="E6821" t="s">
        <v>4</v>
      </c>
      <c r="F6821">
        <v>2.83</v>
      </c>
      <c r="H6821" t="s">
        <v>5</v>
      </c>
      <c r="I6821" s="1">
        <v>34.79</v>
      </c>
      <c r="J6821" s="1">
        <v>34.44</v>
      </c>
      <c r="K6821" t="s">
        <v>6</v>
      </c>
    </row>
    <row r="6822" spans="1:12">
      <c r="A6822" t="s">
        <v>6847</v>
      </c>
      <c r="B6822">
        <v>489620</v>
      </c>
      <c r="C6822" s="2" t="str">
        <f>"145-038"</f>
        <v>145-038</v>
      </c>
      <c r="D6822" t="s">
        <v>6898</v>
      </c>
      <c r="E6822" t="s">
        <v>4</v>
      </c>
      <c r="F6822">
        <v>2</v>
      </c>
      <c r="H6822" t="s">
        <v>5</v>
      </c>
      <c r="I6822" s="1">
        <v>34.79</v>
      </c>
      <c r="J6822" s="1">
        <v>34.44</v>
      </c>
      <c r="K6822" t="s">
        <v>6</v>
      </c>
    </row>
    <row r="6823" spans="1:12">
      <c r="A6823" t="s">
        <v>6847</v>
      </c>
      <c r="B6823">
        <v>489621</v>
      </c>
      <c r="C6823" s="2" t="str">
        <f>"145-5262"</f>
        <v>145-5262</v>
      </c>
      <c r="D6823" t="s">
        <v>6899</v>
      </c>
      <c r="E6823" t="s">
        <v>4</v>
      </c>
      <c r="F6823">
        <v>3.89</v>
      </c>
      <c r="H6823" t="s">
        <v>5</v>
      </c>
      <c r="I6823" s="1">
        <v>22.89</v>
      </c>
      <c r="J6823" s="1">
        <v>22.66</v>
      </c>
      <c r="K6823" t="s">
        <v>6</v>
      </c>
    </row>
    <row r="6824" spans="1:12">
      <c r="A6824" t="s">
        <v>6847</v>
      </c>
      <c r="B6824">
        <v>531294</v>
      </c>
      <c r="C6824" s="2" t="str">
        <f>"148-001"</f>
        <v>148-001</v>
      </c>
      <c r="D6824" t="s">
        <v>6900</v>
      </c>
      <c r="E6824" t="s">
        <v>4</v>
      </c>
      <c r="F6824">
        <v>42</v>
      </c>
      <c r="G6824">
        <v>3.5</v>
      </c>
      <c r="H6824" t="s">
        <v>106</v>
      </c>
      <c r="I6824" s="1">
        <v>17.559999999999999</v>
      </c>
      <c r="J6824" s="1">
        <v>17.39</v>
      </c>
      <c r="K6824" t="s">
        <v>4227</v>
      </c>
      <c r="L6824" s="1">
        <v>19.13</v>
      </c>
    </row>
    <row r="6825" spans="1:12">
      <c r="A6825" t="s">
        <v>6847</v>
      </c>
      <c r="B6825">
        <v>534447</v>
      </c>
      <c r="C6825" s="2" t="str">
        <f>"148-016"</f>
        <v>148-016</v>
      </c>
      <c r="D6825" t="s">
        <v>6901</v>
      </c>
      <c r="E6825" t="s">
        <v>4</v>
      </c>
      <c r="F6825">
        <v>24.96</v>
      </c>
      <c r="G6825">
        <v>2.08</v>
      </c>
      <c r="H6825" t="s">
        <v>106</v>
      </c>
      <c r="I6825" s="1">
        <v>23.44</v>
      </c>
      <c r="J6825" s="1">
        <v>23.21</v>
      </c>
      <c r="K6825" t="s">
        <v>4227</v>
      </c>
      <c r="L6825" s="1">
        <v>25.53</v>
      </c>
    </row>
    <row r="6826" spans="1:12">
      <c r="A6826" t="s">
        <v>6847</v>
      </c>
      <c r="B6826">
        <v>531160</v>
      </c>
      <c r="C6826" s="2" t="str">
        <f>"148-030"</f>
        <v>148-030</v>
      </c>
      <c r="D6826" t="s">
        <v>6902</v>
      </c>
      <c r="E6826" t="s">
        <v>4</v>
      </c>
      <c r="F6826">
        <v>29.04</v>
      </c>
      <c r="G6826">
        <v>2.42</v>
      </c>
      <c r="H6826" t="s">
        <v>106</v>
      </c>
      <c r="I6826" s="1">
        <v>23.44</v>
      </c>
      <c r="J6826" s="1">
        <v>23.21</v>
      </c>
      <c r="K6826" t="s">
        <v>4227</v>
      </c>
      <c r="L6826" s="1">
        <v>25.53</v>
      </c>
    </row>
    <row r="6827" spans="1:12">
      <c r="A6827" t="s">
        <v>6847</v>
      </c>
      <c r="B6827">
        <v>531159</v>
      </c>
      <c r="C6827" s="2" t="str">
        <f>"148-038"</f>
        <v>148-038</v>
      </c>
      <c r="D6827" t="s">
        <v>6903</v>
      </c>
      <c r="E6827" t="s">
        <v>4</v>
      </c>
      <c r="F6827">
        <v>23.04</v>
      </c>
      <c r="G6827">
        <v>1.92</v>
      </c>
      <c r="H6827" t="s">
        <v>106</v>
      </c>
      <c r="I6827" s="1">
        <v>32.85</v>
      </c>
      <c r="J6827" s="1">
        <v>31.21</v>
      </c>
      <c r="K6827" t="s">
        <v>4227</v>
      </c>
      <c r="L6827" s="1">
        <v>34.33</v>
      </c>
    </row>
    <row r="6828" spans="1:12">
      <c r="A6828" t="s">
        <v>6847</v>
      </c>
      <c r="B6828">
        <v>531272</v>
      </c>
      <c r="C6828" s="2" t="str">
        <f>"148-5262"</f>
        <v>148-5262</v>
      </c>
      <c r="D6828" t="s">
        <v>6904</v>
      </c>
      <c r="E6828" t="s">
        <v>4</v>
      </c>
      <c r="F6828">
        <v>28.98</v>
      </c>
      <c r="G6828">
        <v>1.61</v>
      </c>
      <c r="H6828" t="s">
        <v>4041</v>
      </c>
      <c r="I6828" s="1">
        <v>13.83</v>
      </c>
      <c r="J6828" s="1">
        <v>13.7</v>
      </c>
      <c r="K6828" t="s">
        <v>1274</v>
      </c>
      <c r="L6828" s="1">
        <v>15.07</v>
      </c>
    </row>
    <row r="6829" spans="1:12">
      <c r="A6829" t="s">
        <v>6847</v>
      </c>
      <c r="B6829">
        <v>531086</v>
      </c>
      <c r="C6829" s="2" t="str">
        <f>"165-001"</f>
        <v>165-001</v>
      </c>
      <c r="D6829" t="s">
        <v>6905</v>
      </c>
      <c r="E6829" t="s">
        <v>4</v>
      </c>
      <c r="F6829">
        <v>32.04</v>
      </c>
      <c r="G6829">
        <v>2.67</v>
      </c>
      <c r="H6829" t="s">
        <v>106</v>
      </c>
      <c r="I6829" s="1">
        <v>38.75</v>
      </c>
      <c r="J6829" s="1">
        <v>36.82</v>
      </c>
      <c r="K6829" t="s">
        <v>4227</v>
      </c>
      <c r="L6829" s="1">
        <v>40.5</v>
      </c>
    </row>
    <row r="6830" spans="1:12">
      <c r="A6830" t="s">
        <v>6847</v>
      </c>
      <c r="B6830">
        <v>506520</v>
      </c>
      <c r="C6830" s="2" t="str">
        <f>"165-016"</f>
        <v>165-016</v>
      </c>
      <c r="D6830" t="s">
        <v>6906</v>
      </c>
      <c r="E6830" t="s">
        <v>4</v>
      </c>
      <c r="F6830">
        <v>25</v>
      </c>
      <c r="H6830" t="s">
        <v>5</v>
      </c>
      <c r="I6830" s="1">
        <v>51.81</v>
      </c>
      <c r="J6830" s="1">
        <v>49.22</v>
      </c>
      <c r="K6830" t="s">
        <v>6</v>
      </c>
    </row>
    <row r="6831" spans="1:12">
      <c r="A6831" t="s">
        <v>6847</v>
      </c>
      <c r="B6831">
        <v>502632</v>
      </c>
      <c r="C6831" s="2" t="str">
        <f>"165-030"</f>
        <v>165-030</v>
      </c>
      <c r="D6831" t="s">
        <v>6907</v>
      </c>
      <c r="E6831" t="s">
        <v>4</v>
      </c>
      <c r="F6831">
        <v>2.5</v>
      </c>
      <c r="H6831" t="s">
        <v>5</v>
      </c>
      <c r="I6831" s="1">
        <v>51.81</v>
      </c>
      <c r="J6831" s="1">
        <v>49.22</v>
      </c>
      <c r="K6831" t="s">
        <v>6</v>
      </c>
    </row>
    <row r="6832" spans="1:12">
      <c r="A6832" t="s">
        <v>6847</v>
      </c>
      <c r="B6832">
        <v>470474</v>
      </c>
      <c r="C6832" s="2" t="str">
        <f>"165-5262"</f>
        <v>165-5262</v>
      </c>
      <c r="D6832" t="s">
        <v>6908</v>
      </c>
      <c r="E6832" t="s">
        <v>4</v>
      </c>
      <c r="F6832">
        <v>1.61</v>
      </c>
      <c r="H6832" t="s">
        <v>5</v>
      </c>
      <c r="I6832" s="1">
        <v>38.61</v>
      </c>
      <c r="J6832" s="1">
        <v>36.67</v>
      </c>
      <c r="K6832" t="s">
        <v>6</v>
      </c>
    </row>
    <row r="6833" spans="1:12">
      <c r="A6833" t="s">
        <v>6847</v>
      </c>
      <c r="B6833">
        <v>531274</v>
      </c>
      <c r="C6833" s="2" t="str">
        <f>"200-1492"</f>
        <v>200-1492</v>
      </c>
      <c r="D6833" t="s">
        <v>6909</v>
      </c>
      <c r="E6833" t="s">
        <v>4</v>
      </c>
      <c r="F6833">
        <v>55</v>
      </c>
      <c r="G6833">
        <v>2.2000000000000002</v>
      </c>
      <c r="H6833" t="s">
        <v>4328</v>
      </c>
      <c r="I6833" s="1">
        <v>16.09</v>
      </c>
      <c r="J6833" s="1">
        <v>15.94</v>
      </c>
      <c r="K6833" t="s">
        <v>1274</v>
      </c>
      <c r="L6833" s="1">
        <v>17.53</v>
      </c>
    </row>
    <row r="6834" spans="1:12">
      <c r="A6834" t="s">
        <v>6847</v>
      </c>
      <c r="B6834">
        <v>531282</v>
      </c>
      <c r="C6834" s="2" t="str">
        <f>"200-1702"</f>
        <v>200-1702</v>
      </c>
      <c r="D6834" t="s">
        <v>6910</v>
      </c>
      <c r="E6834" t="s">
        <v>4</v>
      </c>
      <c r="F6834">
        <v>40</v>
      </c>
      <c r="G6834">
        <v>1.6</v>
      </c>
      <c r="H6834" t="s">
        <v>4328</v>
      </c>
      <c r="I6834" s="1">
        <v>14.09</v>
      </c>
      <c r="J6834" s="1">
        <v>12.68</v>
      </c>
      <c r="K6834" t="s">
        <v>3830</v>
      </c>
      <c r="L6834" s="1">
        <v>13.94</v>
      </c>
    </row>
    <row r="6835" spans="1:12">
      <c r="A6835" t="s">
        <v>6847</v>
      </c>
      <c r="B6835">
        <v>531276</v>
      </c>
      <c r="C6835" s="2" t="str">
        <f>"201-2492"</f>
        <v>201-2492</v>
      </c>
      <c r="D6835" t="s">
        <v>6911</v>
      </c>
      <c r="E6835" t="s">
        <v>4</v>
      </c>
      <c r="F6835">
        <v>55</v>
      </c>
      <c r="G6835">
        <v>2.2000000000000002</v>
      </c>
      <c r="H6835" t="s">
        <v>4328</v>
      </c>
      <c r="I6835" s="1">
        <v>10.78</v>
      </c>
      <c r="J6835" s="1">
        <v>10.66</v>
      </c>
      <c r="K6835" t="s">
        <v>1274</v>
      </c>
      <c r="L6835" s="1">
        <v>11.73</v>
      </c>
    </row>
    <row r="6836" spans="1:12">
      <c r="A6836" t="s">
        <v>6847</v>
      </c>
      <c r="B6836">
        <v>531267</v>
      </c>
      <c r="C6836" s="2" t="str">
        <f>"201-2632"</f>
        <v>201-2632</v>
      </c>
      <c r="D6836" t="s">
        <v>6912</v>
      </c>
      <c r="E6836" t="s">
        <v>4</v>
      </c>
      <c r="F6836">
        <v>44</v>
      </c>
      <c r="G6836">
        <v>1.76</v>
      </c>
      <c r="H6836" t="s">
        <v>4328</v>
      </c>
      <c r="I6836" s="1">
        <v>9.8800000000000008</v>
      </c>
      <c r="J6836" s="1">
        <v>9.7899999999999991</v>
      </c>
      <c r="K6836" t="s">
        <v>1274</v>
      </c>
      <c r="L6836" s="1">
        <v>10.77</v>
      </c>
    </row>
    <row r="6837" spans="1:12">
      <c r="A6837" t="s">
        <v>6847</v>
      </c>
      <c r="B6837">
        <v>534699</v>
      </c>
      <c r="C6837" s="2" t="str">
        <f>"201-2642"</f>
        <v>201-2642</v>
      </c>
      <c r="D6837" t="s">
        <v>6913</v>
      </c>
      <c r="E6837" t="s">
        <v>4</v>
      </c>
      <c r="F6837">
        <v>43</v>
      </c>
      <c r="G6837">
        <v>1.72</v>
      </c>
      <c r="H6837" t="s">
        <v>4328</v>
      </c>
      <c r="I6837" s="1">
        <v>7.88</v>
      </c>
      <c r="J6837" s="1">
        <v>7.8</v>
      </c>
      <c r="K6837" t="s">
        <v>1274</v>
      </c>
      <c r="L6837" s="1">
        <v>8.58</v>
      </c>
    </row>
    <row r="6838" spans="1:12">
      <c r="A6838" t="s">
        <v>6847</v>
      </c>
      <c r="B6838">
        <v>534700</v>
      </c>
      <c r="C6838" s="2" t="str">
        <f>"201-2702"</f>
        <v>201-2702</v>
      </c>
      <c r="D6838" t="s">
        <v>6914</v>
      </c>
      <c r="E6838" t="s">
        <v>4</v>
      </c>
      <c r="F6838">
        <v>24</v>
      </c>
      <c r="G6838">
        <v>0.96</v>
      </c>
      <c r="H6838" t="s">
        <v>4328</v>
      </c>
      <c r="I6838" s="1">
        <v>4.8899999999999997</v>
      </c>
      <c r="J6838" s="1">
        <v>4.84</v>
      </c>
      <c r="K6838" t="s">
        <v>1274</v>
      </c>
      <c r="L6838" s="1">
        <v>5.32</v>
      </c>
    </row>
    <row r="6839" spans="1:12">
      <c r="A6839" t="s">
        <v>6847</v>
      </c>
      <c r="B6839">
        <v>526749</v>
      </c>
      <c r="C6839" s="2" t="str">
        <f>"651-001"</f>
        <v>651-001</v>
      </c>
      <c r="D6839" t="s">
        <v>6915</v>
      </c>
      <c r="E6839" t="s">
        <v>4</v>
      </c>
      <c r="F6839">
        <v>36</v>
      </c>
      <c r="G6839">
        <v>1.5</v>
      </c>
      <c r="H6839" t="s">
        <v>666</v>
      </c>
      <c r="I6839" s="1">
        <v>4.82</v>
      </c>
      <c r="J6839" s="1">
        <v>4.78</v>
      </c>
      <c r="K6839" t="s">
        <v>4227</v>
      </c>
      <c r="L6839" s="1">
        <v>5.26</v>
      </c>
    </row>
    <row r="6840" spans="1:12">
      <c r="A6840" t="s">
        <v>6847</v>
      </c>
      <c r="B6840">
        <v>528036</v>
      </c>
      <c r="C6840" s="2" t="str">
        <f>"651-002"</f>
        <v>651-002</v>
      </c>
      <c r="D6840" t="s">
        <v>6916</v>
      </c>
      <c r="E6840" t="s">
        <v>4</v>
      </c>
      <c r="F6840">
        <v>30</v>
      </c>
      <c r="G6840">
        <v>2.5</v>
      </c>
      <c r="H6840" t="s">
        <v>106</v>
      </c>
      <c r="I6840" s="1">
        <v>6.6</v>
      </c>
      <c r="J6840" s="1">
        <v>6.54</v>
      </c>
      <c r="K6840" t="s">
        <v>4227</v>
      </c>
      <c r="L6840" s="1">
        <v>7.19</v>
      </c>
    </row>
    <row r="6841" spans="1:12">
      <c r="A6841" t="s">
        <v>6847</v>
      </c>
      <c r="B6841">
        <v>534431</v>
      </c>
      <c r="C6841" s="2" t="str">
        <f>"651-003"</f>
        <v>651-003</v>
      </c>
      <c r="D6841" t="s">
        <v>6917</v>
      </c>
      <c r="E6841" t="s">
        <v>4</v>
      </c>
      <c r="F6841">
        <v>17</v>
      </c>
      <c r="G6841">
        <v>4.25</v>
      </c>
      <c r="H6841" t="s">
        <v>153</v>
      </c>
      <c r="I6841" s="1">
        <v>10.19</v>
      </c>
      <c r="J6841" s="1">
        <v>10.09</v>
      </c>
      <c r="K6841" t="s">
        <v>4227</v>
      </c>
      <c r="L6841" s="1">
        <v>11.1</v>
      </c>
    </row>
    <row r="6842" spans="1:12">
      <c r="A6842" t="s">
        <v>6847</v>
      </c>
      <c r="B6842">
        <v>528037</v>
      </c>
      <c r="C6842" s="2" t="str">
        <f>"651-007"</f>
        <v>651-007</v>
      </c>
      <c r="D6842" t="s">
        <v>6918</v>
      </c>
      <c r="E6842" t="s">
        <v>4</v>
      </c>
      <c r="F6842">
        <v>10.92</v>
      </c>
      <c r="G6842">
        <v>0.91</v>
      </c>
      <c r="H6842" t="s">
        <v>106</v>
      </c>
      <c r="I6842" s="1">
        <v>6.6</v>
      </c>
      <c r="J6842" s="1">
        <v>6.54</v>
      </c>
      <c r="K6842" t="s">
        <v>4227</v>
      </c>
      <c r="L6842" s="1">
        <v>7.19</v>
      </c>
    </row>
    <row r="6843" spans="1:12">
      <c r="A6843" t="s">
        <v>6847</v>
      </c>
      <c r="B6843">
        <v>528038</v>
      </c>
      <c r="C6843" s="2" t="str">
        <f>"651-016"</f>
        <v>651-016</v>
      </c>
      <c r="D6843" t="s">
        <v>6919</v>
      </c>
      <c r="E6843" t="s">
        <v>4</v>
      </c>
      <c r="F6843">
        <v>24</v>
      </c>
      <c r="G6843">
        <v>2</v>
      </c>
      <c r="H6843" t="s">
        <v>106</v>
      </c>
      <c r="I6843" s="1">
        <v>5.82</v>
      </c>
      <c r="J6843" s="1">
        <v>5.77</v>
      </c>
      <c r="K6843" t="s">
        <v>4227</v>
      </c>
      <c r="L6843" s="1">
        <v>6.35</v>
      </c>
    </row>
    <row r="6844" spans="1:12">
      <c r="A6844" t="s">
        <v>6847</v>
      </c>
      <c r="B6844">
        <v>528039</v>
      </c>
      <c r="C6844" s="2" t="str">
        <f>"651-029"</f>
        <v>651-029</v>
      </c>
      <c r="D6844" t="s">
        <v>6920</v>
      </c>
      <c r="E6844" t="s">
        <v>4</v>
      </c>
      <c r="F6844">
        <v>12.96</v>
      </c>
      <c r="G6844">
        <v>1.08</v>
      </c>
      <c r="H6844" t="s">
        <v>106</v>
      </c>
      <c r="I6844" s="1">
        <v>5.72</v>
      </c>
      <c r="J6844" s="1">
        <v>5.66</v>
      </c>
      <c r="K6844" t="s">
        <v>4227</v>
      </c>
      <c r="L6844" s="1">
        <v>6.22</v>
      </c>
    </row>
    <row r="6845" spans="1:12">
      <c r="A6845" t="s">
        <v>6847</v>
      </c>
      <c r="B6845">
        <v>528040</v>
      </c>
      <c r="C6845" s="2" t="str">
        <f>"651-030"</f>
        <v>651-030</v>
      </c>
      <c r="D6845" t="s">
        <v>6921</v>
      </c>
      <c r="E6845" t="s">
        <v>4</v>
      </c>
      <c r="F6845">
        <v>27</v>
      </c>
      <c r="G6845">
        <v>2.25</v>
      </c>
      <c r="H6845" t="s">
        <v>106</v>
      </c>
      <c r="I6845" s="1">
        <v>6.6</v>
      </c>
      <c r="J6845" s="1">
        <v>6.54</v>
      </c>
      <c r="K6845" t="s">
        <v>4227</v>
      </c>
      <c r="L6845" s="1">
        <v>7.19</v>
      </c>
    </row>
    <row r="6846" spans="1:12">
      <c r="A6846" t="s">
        <v>6847</v>
      </c>
      <c r="B6846">
        <v>534432</v>
      </c>
      <c r="C6846" s="2" t="str">
        <f>"651-038"</f>
        <v>651-038</v>
      </c>
      <c r="D6846" t="s">
        <v>6922</v>
      </c>
      <c r="E6846" t="s">
        <v>4</v>
      </c>
      <c r="F6846">
        <v>36.96</v>
      </c>
      <c r="G6846">
        <v>3.08</v>
      </c>
      <c r="H6846" t="s">
        <v>106</v>
      </c>
      <c r="I6846" s="1">
        <v>6.88</v>
      </c>
      <c r="J6846" s="1">
        <v>6.8</v>
      </c>
      <c r="K6846" t="s">
        <v>4227</v>
      </c>
      <c r="L6846" s="1">
        <v>7.48</v>
      </c>
    </row>
    <row r="6847" spans="1:12">
      <c r="A6847" t="s">
        <v>6847</v>
      </c>
      <c r="B6847">
        <v>535406</v>
      </c>
      <c r="C6847" s="2" t="str">
        <f>"651-5302"</f>
        <v>651-5302</v>
      </c>
      <c r="D6847" t="s">
        <v>6923</v>
      </c>
      <c r="E6847" t="s">
        <v>4</v>
      </c>
      <c r="F6847">
        <v>30.96</v>
      </c>
      <c r="G6847">
        <v>1.72</v>
      </c>
      <c r="H6847" t="s">
        <v>4041</v>
      </c>
      <c r="I6847" s="1">
        <v>4.8499999999999996</v>
      </c>
      <c r="J6847" s="1">
        <v>4.8</v>
      </c>
      <c r="K6847" t="s">
        <v>1274</v>
      </c>
      <c r="L6847" s="1">
        <v>5.28</v>
      </c>
    </row>
    <row r="6848" spans="1:12">
      <c r="A6848" t="s">
        <v>6847</v>
      </c>
      <c r="B6848">
        <v>528050</v>
      </c>
      <c r="C6848" s="2" t="str">
        <f>"657-001"</f>
        <v>657-001</v>
      </c>
      <c r="D6848" t="s">
        <v>6924</v>
      </c>
      <c r="E6848" t="s">
        <v>4</v>
      </c>
      <c r="F6848">
        <v>36</v>
      </c>
      <c r="G6848">
        <v>1.5</v>
      </c>
      <c r="H6848" t="s">
        <v>666</v>
      </c>
      <c r="I6848" s="1">
        <v>4.82</v>
      </c>
      <c r="J6848" s="1">
        <v>4.78</v>
      </c>
      <c r="K6848" t="s">
        <v>4227</v>
      </c>
      <c r="L6848" s="1">
        <v>5.26</v>
      </c>
    </row>
    <row r="6849" spans="1:12">
      <c r="A6849" t="s">
        <v>6847</v>
      </c>
      <c r="B6849">
        <v>528052</v>
      </c>
      <c r="C6849" s="2" t="str">
        <f>"657-016"</f>
        <v>657-016</v>
      </c>
      <c r="D6849" t="s">
        <v>6925</v>
      </c>
      <c r="E6849" t="s">
        <v>4</v>
      </c>
      <c r="F6849">
        <v>24</v>
      </c>
      <c r="G6849">
        <v>2</v>
      </c>
      <c r="H6849" t="s">
        <v>106</v>
      </c>
      <c r="I6849" s="1">
        <v>5.82</v>
      </c>
      <c r="J6849" s="1">
        <v>5.77</v>
      </c>
      <c r="K6849" t="s">
        <v>4227</v>
      </c>
      <c r="L6849" s="1">
        <v>6.35</v>
      </c>
    </row>
    <row r="6850" spans="1:12">
      <c r="A6850" t="s">
        <v>6847</v>
      </c>
      <c r="B6850">
        <v>528053</v>
      </c>
      <c r="C6850" s="2" t="str">
        <f>"657-021"</f>
        <v>657-021</v>
      </c>
      <c r="D6850" t="s">
        <v>6926</v>
      </c>
      <c r="E6850" t="s">
        <v>4</v>
      </c>
      <c r="F6850">
        <v>22.92</v>
      </c>
      <c r="G6850">
        <v>1.91</v>
      </c>
      <c r="H6850" t="s">
        <v>106</v>
      </c>
      <c r="I6850" s="1">
        <v>6.02</v>
      </c>
      <c r="J6850" s="1">
        <v>5.97</v>
      </c>
      <c r="K6850" t="s">
        <v>4227</v>
      </c>
      <c r="L6850" s="1">
        <v>6.56</v>
      </c>
    </row>
    <row r="6851" spans="1:12">
      <c r="A6851" t="s">
        <v>6847</v>
      </c>
      <c r="B6851">
        <v>528054</v>
      </c>
      <c r="C6851" s="2" t="str">
        <f>"657-029"</f>
        <v>657-029</v>
      </c>
      <c r="D6851" t="s">
        <v>6927</v>
      </c>
      <c r="E6851" t="s">
        <v>4</v>
      </c>
      <c r="F6851">
        <v>12.96</v>
      </c>
      <c r="G6851">
        <v>1.08</v>
      </c>
      <c r="H6851" t="s">
        <v>106</v>
      </c>
      <c r="I6851" s="1">
        <v>5.72</v>
      </c>
      <c r="J6851" s="1">
        <v>5.66</v>
      </c>
      <c r="K6851" t="s">
        <v>4227</v>
      </c>
      <c r="L6851" s="1">
        <v>6.22</v>
      </c>
    </row>
    <row r="6852" spans="1:12">
      <c r="A6852" t="s">
        <v>6847</v>
      </c>
      <c r="B6852">
        <v>528055</v>
      </c>
      <c r="C6852" s="2" t="str">
        <f>"657-030"</f>
        <v>657-030</v>
      </c>
      <c r="D6852" t="s">
        <v>6928</v>
      </c>
      <c r="E6852" t="s">
        <v>4</v>
      </c>
      <c r="F6852">
        <v>21.96</v>
      </c>
      <c r="G6852">
        <v>1.83</v>
      </c>
      <c r="H6852" t="s">
        <v>106</v>
      </c>
      <c r="I6852" s="1">
        <v>6.6</v>
      </c>
      <c r="J6852" s="1">
        <v>6.54</v>
      </c>
      <c r="K6852" t="s">
        <v>4227</v>
      </c>
      <c r="L6852" s="1">
        <v>7.19</v>
      </c>
    </row>
    <row r="6853" spans="1:12">
      <c r="A6853" t="s">
        <v>6847</v>
      </c>
      <c r="B6853">
        <v>528056</v>
      </c>
      <c r="C6853" s="2" t="str">
        <f>"657-038"</f>
        <v>657-038</v>
      </c>
      <c r="D6853" t="s">
        <v>6929</v>
      </c>
      <c r="E6853" t="s">
        <v>4</v>
      </c>
      <c r="F6853">
        <v>24</v>
      </c>
      <c r="G6853">
        <v>2</v>
      </c>
      <c r="H6853" t="s">
        <v>106</v>
      </c>
      <c r="I6853" s="1">
        <v>6.88</v>
      </c>
      <c r="J6853" s="1">
        <v>6.8</v>
      </c>
      <c r="K6853" t="s">
        <v>4227</v>
      </c>
      <c r="L6853" s="1">
        <v>7.48</v>
      </c>
    </row>
    <row r="6854" spans="1:12">
      <c r="A6854" t="s">
        <v>6847</v>
      </c>
      <c r="B6854">
        <v>528057</v>
      </c>
      <c r="C6854" s="2" t="str">
        <f>"657-5302"</f>
        <v>657-5302</v>
      </c>
      <c r="D6854" t="s">
        <v>6930</v>
      </c>
      <c r="E6854" t="s">
        <v>4</v>
      </c>
      <c r="F6854">
        <v>21.96</v>
      </c>
      <c r="G6854">
        <v>1.22</v>
      </c>
      <c r="H6854" t="s">
        <v>4041</v>
      </c>
      <c r="I6854" s="1">
        <v>4.8499999999999996</v>
      </c>
      <c r="J6854" s="1">
        <v>4.8</v>
      </c>
      <c r="K6854" t="s">
        <v>1274</v>
      </c>
      <c r="L6854" s="1">
        <v>5.28</v>
      </c>
    </row>
    <row r="6855" spans="1:12">
      <c r="A6855" t="s">
        <v>6847</v>
      </c>
      <c r="B6855">
        <v>397596</v>
      </c>
      <c r="C6855" s="2" t="str">
        <f>"840-110-004"</f>
        <v>840-110-004</v>
      </c>
      <c r="D6855" t="s">
        <v>6931</v>
      </c>
      <c r="E6855" t="s">
        <v>4</v>
      </c>
      <c r="F6855">
        <v>23</v>
      </c>
      <c r="H6855" t="s">
        <v>5</v>
      </c>
      <c r="I6855" s="1">
        <v>32.9</v>
      </c>
      <c r="J6855" s="1">
        <v>31.79</v>
      </c>
      <c r="K6855" t="s">
        <v>6</v>
      </c>
    </row>
    <row r="6856" spans="1:12">
      <c r="A6856" t="s">
        <v>6847</v>
      </c>
      <c r="B6856">
        <v>397597</v>
      </c>
      <c r="C6856" s="2" t="str">
        <f>"840-116-101"</f>
        <v>840-116-101</v>
      </c>
      <c r="D6856" t="s">
        <v>6932</v>
      </c>
      <c r="E6856" t="s">
        <v>4</v>
      </c>
      <c r="F6856">
        <v>24</v>
      </c>
      <c r="H6856" t="s">
        <v>5</v>
      </c>
      <c r="I6856" s="1">
        <v>36.24</v>
      </c>
      <c r="J6856" s="1">
        <v>35.020000000000003</v>
      </c>
      <c r="K6856" t="s">
        <v>6</v>
      </c>
    </row>
    <row r="6857" spans="1:12">
      <c r="A6857" t="s">
        <v>6847</v>
      </c>
      <c r="B6857">
        <v>397599</v>
      </c>
      <c r="C6857" s="2" t="str">
        <f>"840-125-002"</f>
        <v>840-125-002</v>
      </c>
      <c r="D6857" t="s">
        <v>6933</v>
      </c>
      <c r="E6857" t="s">
        <v>4</v>
      </c>
      <c r="F6857">
        <v>30</v>
      </c>
      <c r="H6857" t="s">
        <v>5</v>
      </c>
      <c r="I6857" s="1">
        <v>45.03</v>
      </c>
      <c r="J6857" s="1">
        <v>43.5</v>
      </c>
      <c r="K6857" t="s">
        <v>6</v>
      </c>
    </row>
    <row r="6858" spans="1:12">
      <c r="A6858" t="s">
        <v>6847</v>
      </c>
      <c r="B6858">
        <v>397600</v>
      </c>
      <c r="C6858" s="2" t="str">
        <f>"840-215-005"</f>
        <v>840-215-005</v>
      </c>
      <c r="D6858" t="s">
        <v>6934</v>
      </c>
      <c r="E6858" t="s">
        <v>4</v>
      </c>
      <c r="F6858">
        <v>18</v>
      </c>
      <c r="H6858" t="s">
        <v>5</v>
      </c>
      <c r="I6858" s="1">
        <v>24.87</v>
      </c>
      <c r="J6858" s="1">
        <v>24.02</v>
      </c>
      <c r="K6858" t="s">
        <v>6</v>
      </c>
    </row>
    <row r="6859" spans="1:12">
      <c r="A6859" t="s">
        <v>6847</v>
      </c>
      <c r="B6859">
        <v>397602</v>
      </c>
      <c r="C6859" s="2" t="str">
        <f>"840-310-020"</f>
        <v>840-310-020</v>
      </c>
      <c r="D6859" t="s">
        <v>6935</v>
      </c>
      <c r="E6859" t="s">
        <v>4</v>
      </c>
      <c r="F6859">
        <v>16</v>
      </c>
      <c r="H6859" t="s">
        <v>5</v>
      </c>
      <c r="I6859" s="1">
        <v>28.26</v>
      </c>
      <c r="J6859" s="1">
        <v>27.3</v>
      </c>
      <c r="K6859" t="s">
        <v>6</v>
      </c>
    </row>
    <row r="6860" spans="1:12">
      <c r="A6860" t="s">
        <v>6847</v>
      </c>
      <c r="B6860">
        <v>397603</v>
      </c>
      <c r="C6860" s="2" t="str">
        <f>"840-320-020"</f>
        <v>840-320-020</v>
      </c>
      <c r="D6860" t="s">
        <v>6936</v>
      </c>
      <c r="E6860" t="s">
        <v>4</v>
      </c>
      <c r="F6860">
        <v>33</v>
      </c>
      <c r="H6860" t="s">
        <v>5</v>
      </c>
      <c r="I6860" s="1">
        <v>49</v>
      </c>
      <c r="J6860" s="1">
        <v>47.35</v>
      </c>
      <c r="K6860" t="s">
        <v>6</v>
      </c>
    </row>
    <row r="6861" spans="1:12">
      <c r="A6861" t="s">
        <v>6847</v>
      </c>
      <c r="B6861">
        <v>397605</v>
      </c>
      <c r="C6861" s="2" t="str">
        <f>"840-340-008"</f>
        <v>840-340-008</v>
      </c>
      <c r="D6861" t="s">
        <v>6937</v>
      </c>
      <c r="E6861" t="s">
        <v>4</v>
      </c>
      <c r="F6861">
        <v>60</v>
      </c>
      <c r="H6861" t="s">
        <v>5</v>
      </c>
      <c r="I6861" s="1">
        <v>72.540000000000006</v>
      </c>
      <c r="J6861" s="1">
        <v>70.08</v>
      </c>
      <c r="K6861" t="s">
        <v>6</v>
      </c>
    </row>
    <row r="6862" spans="1:12">
      <c r="A6862" t="s">
        <v>6847</v>
      </c>
      <c r="B6862">
        <v>397606</v>
      </c>
      <c r="C6862" s="2" t="str">
        <f>"840-345-007"</f>
        <v>840-345-007</v>
      </c>
      <c r="D6862" t="s">
        <v>6938</v>
      </c>
      <c r="E6862" t="s">
        <v>4</v>
      </c>
      <c r="F6862">
        <v>21</v>
      </c>
      <c r="H6862" t="s">
        <v>5</v>
      </c>
      <c r="I6862" s="1">
        <v>35.479999999999997</v>
      </c>
      <c r="J6862" s="1">
        <v>34.28</v>
      </c>
      <c r="K6862" t="s">
        <v>6</v>
      </c>
    </row>
    <row r="6863" spans="1:12">
      <c r="A6863" t="s">
        <v>6847</v>
      </c>
      <c r="B6863">
        <v>397607</v>
      </c>
      <c r="C6863" s="2" t="str">
        <f>"840-350-035"</f>
        <v>840-350-035</v>
      </c>
      <c r="D6863" t="s">
        <v>6939</v>
      </c>
      <c r="E6863" t="s">
        <v>4</v>
      </c>
      <c r="F6863">
        <v>26.25</v>
      </c>
      <c r="H6863" t="s">
        <v>5</v>
      </c>
      <c r="I6863" s="1">
        <v>41.31</v>
      </c>
      <c r="J6863" s="1">
        <v>39.92</v>
      </c>
      <c r="K6863" t="s">
        <v>6</v>
      </c>
    </row>
    <row r="6864" spans="1:12">
      <c r="A6864" t="s">
        <v>6847</v>
      </c>
      <c r="B6864">
        <v>397608</v>
      </c>
      <c r="C6864" s="2" t="str">
        <f>"840-360-009"</f>
        <v>840-360-009</v>
      </c>
      <c r="D6864" t="s">
        <v>6940</v>
      </c>
      <c r="E6864" t="s">
        <v>4</v>
      </c>
      <c r="F6864">
        <v>39</v>
      </c>
      <c r="H6864" t="s">
        <v>5</v>
      </c>
      <c r="I6864" s="1">
        <v>57.28</v>
      </c>
      <c r="J6864" s="1">
        <v>55.34</v>
      </c>
      <c r="K6864" t="s">
        <v>6</v>
      </c>
    </row>
    <row r="6865" spans="1:11">
      <c r="A6865" t="s">
        <v>6847</v>
      </c>
      <c r="B6865">
        <v>397609</v>
      </c>
      <c r="C6865" s="2" t="str">
        <f>"840-370-200"</f>
        <v>840-370-200</v>
      </c>
      <c r="D6865" t="s">
        <v>6941</v>
      </c>
      <c r="E6865" t="s">
        <v>4</v>
      </c>
      <c r="F6865">
        <v>33.5</v>
      </c>
      <c r="H6865" t="s">
        <v>5</v>
      </c>
      <c r="I6865" s="1">
        <v>60.98</v>
      </c>
      <c r="J6865" s="1">
        <v>58.92</v>
      </c>
      <c r="K6865" t="s">
        <v>6</v>
      </c>
    </row>
    <row r="6866" spans="1:11">
      <c r="A6866" t="s">
        <v>6847</v>
      </c>
      <c r="B6866">
        <v>397610</v>
      </c>
      <c r="C6866" s="2" t="str">
        <f>"840-405N-10"</f>
        <v>840-405N-10</v>
      </c>
      <c r="D6866" t="s">
        <v>6942</v>
      </c>
      <c r="E6866" t="s">
        <v>4</v>
      </c>
      <c r="F6866">
        <v>18</v>
      </c>
      <c r="H6866" t="s">
        <v>5</v>
      </c>
      <c r="I6866" s="1">
        <v>30.15</v>
      </c>
      <c r="J6866" s="1">
        <v>29.13</v>
      </c>
      <c r="K6866" t="s">
        <v>6</v>
      </c>
    </row>
    <row r="6867" spans="1:11">
      <c r="A6867" t="s">
        <v>6847</v>
      </c>
      <c r="B6867">
        <v>397614</v>
      </c>
      <c r="C6867" s="2" t="str">
        <f>"840-410N-11"</f>
        <v>840-410N-11</v>
      </c>
      <c r="D6867" t="s">
        <v>6943</v>
      </c>
      <c r="E6867" t="s">
        <v>4</v>
      </c>
      <c r="F6867">
        <v>25</v>
      </c>
      <c r="H6867" t="s">
        <v>5</v>
      </c>
      <c r="I6867" s="1">
        <v>38.31</v>
      </c>
      <c r="J6867" s="1">
        <v>37.01</v>
      </c>
      <c r="K6867" t="s">
        <v>6</v>
      </c>
    </row>
    <row r="6868" spans="1:11">
      <c r="A6868" t="s">
        <v>6847</v>
      </c>
      <c r="B6868">
        <v>397615</v>
      </c>
      <c r="C6868" s="2" t="str">
        <f>"840-410R-23"</f>
        <v>840-410R-23</v>
      </c>
      <c r="D6868" t="s">
        <v>6944</v>
      </c>
      <c r="E6868" t="s">
        <v>4</v>
      </c>
      <c r="F6868">
        <v>25</v>
      </c>
      <c r="H6868" t="s">
        <v>5</v>
      </c>
      <c r="I6868" s="1">
        <v>36.450000000000003</v>
      </c>
      <c r="J6868" s="1">
        <v>35.22</v>
      </c>
      <c r="K6868" t="s">
        <v>6</v>
      </c>
    </row>
    <row r="6869" spans="1:11">
      <c r="A6869" t="s">
        <v>6847</v>
      </c>
      <c r="B6869">
        <v>397617</v>
      </c>
      <c r="C6869" s="2" t="str">
        <f>"840-420N-12"</f>
        <v>840-420N-12</v>
      </c>
      <c r="D6869" t="s">
        <v>6945</v>
      </c>
      <c r="E6869" t="s">
        <v>4</v>
      </c>
      <c r="F6869">
        <v>30.1</v>
      </c>
      <c r="H6869" t="s">
        <v>5</v>
      </c>
      <c r="I6869" s="1">
        <v>48</v>
      </c>
      <c r="J6869" s="1">
        <v>46.37</v>
      </c>
      <c r="K6869" t="s">
        <v>6</v>
      </c>
    </row>
    <row r="6870" spans="1:11">
      <c r="A6870" t="s">
        <v>6847</v>
      </c>
      <c r="B6870">
        <v>397618</v>
      </c>
      <c r="C6870" s="2" t="str">
        <f>"840-420R-24"</f>
        <v>840-420R-24</v>
      </c>
      <c r="D6870" t="s">
        <v>6946</v>
      </c>
      <c r="E6870" t="s">
        <v>4</v>
      </c>
      <c r="F6870">
        <v>33.15</v>
      </c>
      <c r="H6870" t="s">
        <v>5</v>
      </c>
      <c r="I6870" s="1">
        <v>45.11</v>
      </c>
      <c r="J6870" s="1">
        <v>43.58</v>
      </c>
      <c r="K6870" t="s">
        <v>6</v>
      </c>
    </row>
    <row r="6871" spans="1:11">
      <c r="A6871" t="s">
        <v>6847</v>
      </c>
      <c r="B6871">
        <v>397621</v>
      </c>
      <c r="C6871" s="2" t="str">
        <f>"840-425N-13"</f>
        <v>840-425N-13</v>
      </c>
      <c r="D6871" t="s">
        <v>6947</v>
      </c>
      <c r="E6871" t="s">
        <v>4</v>
      </c>
      <c r="F6871">
        <v>36</v>
      </c>
      <c r="H6871" t="s">
        <v>5</v>
      </c>
      <c r="I6871" s="1">
        <v>45.72</v>
      </c>
      <c r="J6871" s="1">
        <v>44.17</v>
      </c>
      <c r="K6871" t="s">
        <v>6</v>
      </c>
    </row>
    <row r="6872" spans="1:11">
      <c r="A6872" t="s">
        <v>6847</v>
      </c>
      <c r="B6872">
        <v>397622</v>
      </c>
      <c r="C6872" s="2" t="str">
        <f>"840-425R-25"</f>
        <v>840-425R-25</v>
      </c>
      <c r="D6872" t="s">
        <v>6947</v>
      </c>
      <c r="E6872" t="s">
        <v>4</v>
      </c>
      <c r="F6872">
        <v>33</v>
      </c>
      <c r="H6872" t="s">
        <v>5</v>
      </c>
      <c r="I6872" s="1">
        <v>51.08</v>
      </c>
      <c r="J6872" s="1">
        <v>49.35</v>
      </c>
      <c r="K6872" t="s">
        <v>6</v>
      </c>
    </row>
    <row r="6873" spans="1:11">
      <c r="A6873" t="s">
        <v>6847</v>
      </c>
      <c r="B6873">
        <v>397623</v>
      </c>
      <c r="C6873" s="2" t="str">
        <f>"840-430N-14"</f>
        <v>840-430N-14</v>
      </c>
      <c r="D6873" t="s">
        <v>6948</v>
      </c>
      <c r="E6873" t="s">
        <v>4</v>
      </c>
      <c r="F6873">
        <v>39.450000000000003</v>
      </c>
      <c r="H6873" t="s">
        <v>5</v>
      </c>
      <c r="I6873" s="1">
        <v>62.37</v>
      </c>
      <c r="J6873" s="1">
        <v>60.27</v>
      </c>
      <c r="K6873" t="s">
        <v>6</v>
      </c>
    </row>
    <row r="6874" spans="1:11">
      <c r="A6874" t="s">
        <v>6847</v>
      </c>
      <c r="B6874">
        <v>397624</v>
      </c>
      <c r="C6874" s="2" t="str">
        <f>"840-440N-15"</f>
        <v>840-440N-15</v>
      </c>
      <c r="D6874" t="s">
        <v>6949</v>
      </c>
      <c r="E6874" t="s">
        <v>4</v>
      </c>
      <c r="F6874">
        <v>48</v>
      </c>
      <c r="H6874" t="s">
        <v>5</v>
      </c>
      <c r="I6874" s="1">
        <v>69.37</v>
      </c>
      <c r="J6874" s="1">
        <v>67.03</v>
      </c>
      <c r="K6874" t="s">
        <v>6</v>
      </c>
    </row>
    <row r="6875" spans="1:11">
      <c r="A6875" t="s">
        <v>6847</v>
      </c>
      <c r="B6875">
        <v>401566</v>
      </c>
      <c r="C6875" s="2" t="str">
        <f>"840-445R-12"</f>
        <v>840-445R-12</v>
      </c>
      <c r="D6875" t="s">
        <v>6950</v>
      </c>
      <c r="E6875" t="s">
        <v>4</v>
      </c>
      <c r="F6875">
        <v>36</v>
      </c>
      <c r="H6875" t="s">
        <v>5</v>
      </c>
      <c r="I6875" s="1">
        <v>65.87</v>
      </c>
      <c r="J6875" s="1">
        <v>63.65</v>
      </c>
      <c r="K6875" t="s">
        <v>6</v>
      </c>
    </row>
    <row r="6876" spans="1:11">
      <c r="A6876" t="s">
        <v>6847</v>
      </c>
      <c r="B6876">
        <v>397647</v>
      </c>
      <c r="C6876" s="2" t="str">
        <f>"840-520N-17"</f>
        <v>840-520N-17</v>
      </c>
      <c r="D6876" t="s">
        <v>6951</v>
      </c>
      <c r="E6876" t="s">
        <v>4</v>
      </c>
      <c r="F6876">
        <v>29</v>
      </c>
      <c r="H6876" t="s">
        <v>5</v>
      </c>
      <c r="I6876" s="1">
        <v>52.13</v>
      </c>
      <c r="J6876" s="1">
        <v>50.36</v>
      </c>
      <c r="K6876" t="s">
        <v>6</v>
      </c>
    </row>
    <row r="6877" spans="1:11">
      <c r="A6877" t="s">
        <v>6847</v>
      </c>
      <c r="B6877">
        <v>397649</v>
      </c>
      <c r="C6877" s="2" t="str">
        <f>"840-520R-24"</f>
        <v>840-520R-24</v>
      </c>
      <c r="D6877" t="s">
        <v>6952</v>
      </c>
      <c r="E6877" t="s">
        <v>4</v>
      </c>
      <c r="F6877">
        <v>28</v>
      </c>
      <c r="H6877" t="s">
        <v>5</v>
      </c>
      <c r="I6877" s="1">
        <v>55.59</v>
      </c>
      <c r="J6877" s="1">
        <v>53.7</v>
      </c>
      <c r="K6877" t="s">
        <v>6</v>
      </c>
    </row>
    <row r="6878" spans="1:11">
      <c r="A6878" t="s">
        <v>6847</v>
      </c>
      <c r="B6878">
        <v>440321</v>
      </c>
      <c r="C6878" s="2" t="str">
        <f>"840-530R-30"</f>
        <v>840-530R-30</v>
      </c>
      <c r="D6878" t="s">
        <v>6953</v>
      </c>
      <c r="E6878" t="s">
        <v>4</v>
      </c>
      <c r="F6878">
        <v>43</v>
      </c>
      <c r="H6878" t="s">
        <v>5</v>
      </c>
      <c r="I6878" s="1">
        <v>78.64</v>
      </c>
      <c r="J6878" s="1">
        <v>75.97</v>
      </c>
      <c r="K6878" t="s">
        <v>6</v>
      </c>
    </row>
    <row r="6879" spans="1:11">
      <c r="A6879" t="s">
        <v>6847</v>
      </c>
      <c r="B6879">
        <v>490558</v>
      </c>
      <c r="C6879" s="2" t="str">
        <f>"CA-75"</f>
        <v>CA-75</v>
      </c>
      <c r="D6879" t="s">
        <v>6954</v>
      </c>
      <c r="E6879" t="s">
        <v>4</v>
      </c>
      <c r="F6879">
        <v>29.13</v>
      </c>
      <c r="H6879" t="s">
        <v>5</v>
      </c>
      <c r="I6879" s="1">
        <v>40.549999999999997</v>
      </c>
      <c r="J6879" s="1">
        <v>39.159999999999997</v>
      </c>
      <c r="K6879" t="s">
        <v>6</v>
      </c>
    </row>
    <row r="6880" spans="1:11">
      <c r="A6880" t="s">
        <v>6847</v>
      </c>
      <c r="B6880">
        <v>481625</v>
      </c>
      <c r="C6880" s="2" t="str">
        <f>"CB-004"</f>
        <v>CB-004</v>
      </c>
      <c r="D6880" t="s">
        <v>6955</v>
      </c>
      <c r="E6880" t="s">
        <v>4</v>
      </c>
      <c r="F6880">
        <v>18.7</v>
      </c>
      <c r="H6880" t="s">
        <v>5</v>
      </c>
      <c r="I6880" s="1">
        <v>89.57</v>
      </c>
      <c r="J6880" s="1">
        <v>85.1</v>
      </c>
      <c r="K6880" t="s">
        <v>6</v>
      </c>
    </row>
    <row r="6881" spans="1:11">
      <c r="A6881" t="s">
        <v>6847</v>
      </c>
      <c r="B6881">
        <v>478916</v>
      </c>
      <c r="C6881" s="2" t="str">
        <f>"CB-080"</f>
        <v>CB-080</v>
      </c>
      <c r="D6881" t="s">
        <v>6956</v>
      </c>
      <c r="E6881" t="s">
        <v>4</v>
      </c>
      <c r="F6881">
        <v>26.4</v>
      </c>
      <c r="H6881" t="s">
        <v>5</v>
      </c>
      <c r="I6881" s="1">
        <v>99.4</v>
      </c>
      <c r="J6881" s="1">
        <v>94.43</v>
      </c>
      <c r="K6881" t="s">
        <v>6</v>
      </c>
    </row>
    <row r="6882" spans="1:11">
      <c r="A6882" t="s">
        <v>6847</v>
      </c>
      <c r="B6882">
        <v>492644</v>
      </c>
      <c r="C6882" s="2" t="str">
        <f>"CM-12"</f>
        <v>CM-12</v>
      </c>
      <c r="D6882" t="s">
        <v>6957</v>
      </c>
      <c r="E6882" t="s">
        <v>4</v>
      </c>
      <c r="F6882">
        <v>13.23</v>
      </c>
      <c r="H6882" t="s">
        <v>5</v>
      </c>
      <c r="I6882" s="1">
        <v>15.48</v>
      </c>
      <c r="J6882" s="1">
        <v>14.18</v>
      </c>
      <c r="K6882" t="s">
        <v>6</v>
      </c>
    </row>
    <row r="6883" spans="1:11">
      <c r="A6883" t="s">
        <v>6847</v>
      </c>
      <c r="B6883">
        <v>397653</v>
      </c>
      <c r="C6883" s="2" t="str">
        <f>"DSD-1"</f>
        <v>DSD-1</v>
      </c>
      <c r="D6883" t="s">
        <v>6958</v>
      </c>
      <c r="E6883" t="s">
        <v>4</v>
      </c>
      <c r="F6883">
        <v>29.8</v>
      </c>
      <c r="H6883" t="s">
        <v>5</v>
      </c>
      <c r="I6883" s="1">
        <v>38.950000000000003</v>
      </c>
      <c r="J6883" s="1">
        <v>37.64</v>
      </c>
      <c r="K6883" t="s">
        <v>6</v>
      </c>
    </row>
    <row r="6884" spans="1:11">
      <c r="A6884" t="s">
        <v>6847</v>
      </c>
      <c r="B6884">
        <v>397654</v>
      </c>
      <c r="C6884" s="2" t="str">
        <f>"DSD-10"</f>
        <v>DSD-10</v>
      </c>
      <c r="D6884" t="s">
        <v>6959</v>
      </c>
      <c r="E6884" t="s">
        <v>4</v>
      </c>
      <c r="F6884">
        <v>39.700000000000003</v>
      </c>
      <c r="H6884" t="s">
        <v>5</v>
      </c>
      <c r="I6884" s="1">
        <v>46.54</v>
      </c>
      <c r="J6884" s="1">
        <v>44.97</v>
      </c>
      <c r="K6884" t="s">
        <v>6</v>
      </c>
    </row>
    <row r="6885" spans="1:11">
      <c r="A6885" t="s">
        <v>6847</v>
      </c>
      <c r="B6885">
        <v>397655</v>
      </c>
      <c r="C6885" s="2" t="str">
        <f>"DSD-11"</f>
        <v>DSD-11</v>
      </c>
      <c r="D6885" t="s">
        <v>6960</v>
      </c>
      <c r="E6885" t="s">
        <v>4</v>
      </c>
      <c r="F6885">
        <v>18.7</v>
      </c>
      <c r="H6885" t="s">
        <v>5</v>
      </c>
      <c r="I6885" s="1">
        <v>35.44</v>
      </c>
      <c r="J6885" s="1">
        <v>34.24</v>
      </c>
      <c r="K6885" t="s">
        <v>6</v>
      </c>
    </row>
    <row r="6886" spans="1:11">
      <c r="A6886" t="s">
        <v>6847</v>
      </c>
      <c r="B6886">
        <v>397656</v>
      </c>
      <c r="C6886" s="2" t="str">
        <f>"DSD-12"</f>
        <v>DSD-12</v>
      </c>
      <c r="D6886" t="s">
        <v>6961</v>
      </c>
      <c r="E6886" t="s">
        <v>4</v>
      </c>
      <c r="F6886">
        <v>32</v>
      </c>
      <c r="H6886" t="s">
        <v>5</v>
      </c>
      <c r="I6886" s="1">
        <v>64.56</v>
      </c>
      <c r="J6886" s="1">
        <v>62.37</v>
      </c>
      <c r="K6886" t="s">
        <v>6</v>
      </c>
    </row>
    <row r="6887" spans="1:11">
      <c r="A6887" t="s">
        <v>6847</v>
      </c>
      <c r="B6887">
        <v>397657</v>
      </c>
      <c r="C6887" s="2" t="str">
        <f>"DSD-13"</f>
        <v>DSD-13</v>
      </c>
      <c r="D6887" t="s">
        <v>6962</v>
      </c>
      <c r="E6887" t="s">
        <v>4</v>
      </c>
      <c r="F6887">
        <v>26.5</v>
      </c>
      <c r="H6887" t="s">
        <v>5</v>
      </c>
      <c r="I6887" s="1">
        <v>47.15</v>
      </c>
      <c r="J6887" s="1">
        <v>45.55</v>
      </c>
      <c r="K6887" t="s">
        <v>6</v>
      </c>
    </row>
    <row r="6888" spans="1:11">
      <c r="A6888" t="s">
        <v>6847</v>
      </c>
      <c r="B6888">
        <v>397658</v>
      </c>
      <c r="C6888" s="2" t="str">
        <f>"DSD-14"</f>
        <v>DSD-14</v>
      </c>
      <c r="D6888" t="s">
        <v>6963</v>
      </c>
      <c r="E6888" t="s">
        <v>4</v>
      </c>
      <c r="F6888">
        <v>34.200000000000003</v>
      </c>
      <c r="H6888" t="s">
        <v>5</v>
      </c>
      <c r="I6888" s="1">
        <v>67.55</v>
      </c>
      <c r="J6888" s="1">
        <v>65.260000000000005</v>
      </c>
      <c r="K6888" t="s">
        <v>6</v>
      </c>
    </row>
    <row r="6889" spans="1:11">
      <c r="A6889" t="s">
        <v>6847</v>
      </c>
      <c r="B6889">
        <v>398954</v>
      </c>
      <c r="C6889" s="2" t="str">
        <f>"DSD-15"</f>
        <v>DSD-15</v>
      </c>
      <c r="D6889" t="s">
        <v>6964</v>
      </c>
      <c r="E6889" t="s">
        <v>4</v>
      </c>
      <c r="F6889">
        <v>27.6</v>
      </c>
      <c r="H6889" t="s">
        <v>5</v>
      </c>
      <c r="I6889" s="1">
        <v>46.29</v>
      </c>
      <c r="J6889" s="1">
        <v>44.73</v>
      </c>
      <c r="K6889" t="s">
        <v>6</v>
      </c>
    </row>
    <row r="6890" spans="1:11">
      <c r="A6890" t="s">
        <v>6847</v>
      </c>
      <c r="B6890">
        <v>397659</v>
      </c>
      <c r="C6890" s="2" t="str">
        <f>"DSD-16"</f>
        <v>DSD-16</v>
      </c>
      <c r="D6890" t="s">
        <v>6965</v>
      </c>
      <c r="E6890" t="s">
        <v>4</v>
      </c>
      <c r="F6890">
        <v>30.3</v>
      </c>
      <c r="H6890" t="s">
        <v>5</v>
      </c>
      <c r="I6890" s="1">
        <v>39.49</v>
      </c>
      <c r="J6890" s="1">
        <v>38.159999999999997</v>
      </c>
      <c r="K6890" t="s">
        <v>6</v>
      </c>
    </row>
    <row r="6891" spans="1:11">
      <c r="A6891" t="s">
        <v>6847</v>
      </c>
      <c r="B6891">
        <v>397660</v>
      </c>
      <c r="C6891" s="2" t="str">
        <f>"DSD-17"</f>
        <v>DSD-17</v>
      </c>
      <c r="D6891" t="s">
        <v>6966</v>
      </c>
      <c r="E6891" t="s">
        <v>4</v>
      </c>
      <c r="F6891">
        <v>35.299999999999997</v>
      </c>
      <c r="H6891" t="s">
        <v>5</v>
      </c>
      <c r="I6891" s="1">
        <v>55.67</v>
      </c>
      <c r="J6891" s="1">
        <v>53.78</v>
      </c>
      <c r="K6891" t="s">
        <v>6</v>
      </c>
    </row>
    <row r="6892" spans="1:11">
      <c r="A6892" t="s">
        <v>6847</v>
      </c>
      <c r="B6892">
        <v>397661</v>
      </c>
      <c r="C6892" s="2" t="str">
        <f>"DSD-2"</f>
        <v>DSD-2</v>
      </c>
      <c r="D6892" t="s">
        <v>6967</v>
      </c>
      <c r="E6892" t="s">
        <v>4</v>
      </c>
      <c r="F6892">
        <v>23.1</v>
      </c>
      <c r="H6892" t="s">
        <v>5</v>
      </c>
      <c r="I6892" s="1">
        <v>36.28</v>
      </c>
      <c r="J6892" s="1">
        <v>35.06</v>
      </c>
      <c r="K6892" t="s">
        <v>6</v>
      </c>
    </row>
    <row r="6893" spans="1:11">
      <c r="A6893" t="s">
        <v>6847</v>
      </c>
      <c r="B6893">
        <v>397662</v>
      </c>
      <c r="C6893" s="2" t="str">
        <f>"DSD-4"</f>
        <v>DSD-4</v>
      </c>
      <c r="D6893" t="s">
        <v>6968</v>
      </c>
      <c r="E6893" t="s">
        <v>4</v>
      </c>
      <c r="F6893">
        <v>24.2</v>
      </c>
      <c r="H6893" t="s">
        <v>5</v>
      </c>
      <c r="I6893" s="1">
        <v>32.450000000000003</v>
      </c>
      <c r="J6893" s="1">
        <v>31.36</v>
      </c>
      <c r="K6893" t="s">
        <v>6</v>
      </c>
    </row>
    <row r="6894" spans="1:11">
      <c r="A6894" t="s">
        <v>6847</v>
      </c>
      <c r="B6894">
        <v>397664</v>
      </c>
      <c r="C6894" s="2" t="str">
        <f>"DSD-6"</f>
        <v>DSD-6</v>
      </c>
      <c r="D6894" t="s">
        <v>6969</v>
      </c>
      <c r="E6894" t="s">
        <v>4</v>
      </c>
      <c r="F6894">
        <v>28.7</v>
      </c>
      <c r="H6894" t="s">
        <v>5</v>
      </c>
      <c r="I6894" s="1">
        <v>41.05</v>
      </c>
      <c r="J6894" s="1">
        <v>39.659999999999997</v>
      </c>
      <c r="K6894" t="s">
        <v>6</v>
      </c>
    </row>
    <row r="6895" spans="1:11">
      <c r="A6895" t="s">
        <v>6847</v>
      </c>
      <c r="B6895">
        <v>397665</v>
      </c>
      <c r="C6895" s="2" t="str">
        <f>"DSD-7"</f>
        <v>DSD-7</v>
      </c>
      <c r="D6895" t="s">
        <v>6970</v>
      </c>
      <c r="E6895" t="s">
        <v>4</v>
      </c>
      <c r="F6895">
        <v>38.6</v>
      </c>
      <c r="H6895" t="s">
        <v>5</v>
      </c>
      <c r="I6895" s="1">
        <v>50.58</v>
      </c>
      <c r="J6895" s="1">
        <v>48.87</v>
      </c>
      <c r="K6895" t="s">
        <v>6</v>
      </c>
    </row>
    <row r="6896" spans="1:11">
      <c r="A6896" t="s">
        <v>6847</v>
      </c>
      <c r="B6896">
        <v>397666</v>
      </c>
      <c r="C6896" s="2" t="str">
        <f>"DSD-8"</f>
        <v>DSD-8</v>
      </c>
      <c r="D6896" t="s">
        <v>6971</v>
      </c>
      <c r="E6896" t="s">
        <v>4</v>
      </c>
      <c r="F6896">
        <v>39.700000000000003</v>
      </c>
      <c r="H6896" t="s">
        <v>5</v>
      </c>
      <c r="I6896" s="1">
        <v>53.29</v>
      </c>
      <c r="J6896" s="1">
        <v>51.48</v>
      </c>
      <c r="K6896" t="s">
        <v>6</v>
      </c>
    </row>
    <row r="6897" spans="1:11">
      <c r="A6897" t="s">
        <v>6847</v>
      </c>
      <c r="B6897">
        <v>397668</v>
      </c>
      <c r="C6897" s="2" t="str">
        <f>"DSD-9"</f>
        <v>DSD-9</v>
      </c>
      <c r="D6897" t="s">
        <v>6972</v>
      </c>
      <c r="E6897" t="s">
        <v>4</v>
      </c>
      <c r="F6897">
        <v>48.5</v>
      </c>
      <c r="H6897" t="s">
        <v>5</v>
      </c>
      <c r="I6897" s="1">
        <v>51.43</v>
      </c>
      <c r="J6897" s="1">
        <v>49.69</v>
      </c>
      <c r="K6897" t="s">
        <v>6</v>
      </c>
    </row>
    <row r="6898" spans="1:11">
      <c r="A6898" t="s">
        <v>6847</v>
      </c>
      <c r="B6898">
        <v>457507</v>
      </c>
      <c r="C6898" s="2" t="str">
        <f>"END-10"</f>
        <v>END-10</v>
      </c>
      <c r="D6898" t="s">
        <v>6973</v>
      </c>
      <c r="E6898" t="s">
        <v>4</v>
      </c>
      <c r="F6898">
        <v>26.46</v>
      </c>
      <c r="H6898" t="s">
        <v>5</v>
      </c>
      <c r="I6898" s="1">
        <v>64.06</v>
      </c>
      <c r="J6898" s="1">
        <v>61.89</v>
      </c>
      <c r="K6898" t="s">
        <v>6</v>
      </c>
    </row>
    <row r="6899" spans="1:11">
      <c r="A6899" t="s">
        <v>6847</v>
      </c>
      <c r="B6899">
        <v>457513</v>
      </c>
      <c r="C6899" s="2" t="str">
        <f>"END-15"</f>
        <v>END-15</v>
      </c>
      <c r="D6899" t="s">
        <v>6974</v>
      </c>
      <c r="E6899" t="s">
        <v>4</v>
      </c>
      <c r="F6899">
        <v>22.05</v>
      </c>
      <c r="H6899" t="s">
        <v>5</v>
      </c>
      <c r="I6899" s="1">
        <v>49.23</v>
      </c>
      <c r="J6899" s="1">
        <v>47.55</v>
      </c>
      <c r="K6899" t="s">
        <v>6</v>
      </c>
    </row>
    <row r="6900" spans="1:11">
      <c r="A6900" t="s">
        <v>6847</v>
      </c>
      <c r="B6900">
        <v>457520</v>
      </c>
      <c r="C6900" s="2" t="str">
        <f>"END-18"</f>
        <v>END-18</v>
      </c>
      <c r="D6900" t="s">
        <v>6975</v>
      </c>
      <c r="E6900" t="s">
        <v>4</v>
      </c>
      <c r="F6900">
        <v>22.05</v>
      </c>
      <c r="H6900" t="s">
        <v>5</v>
      </c>
      <c r="I6900" s="1">
        <v>84.31</v>
      </c>
      <c r="J6900" s="1">
        <v>81.459999999999994</v>
      </c>
      <c r="K6900" t="s">
        <v>6</v>
      </c>
    </row>
    <row r="6901" spans="1:11">
      <c r="A6901" t="s">
        <v>6847</v>
      </c>
      <c r="B6901">
        <v>457505</v>
      </c>
      <c r="C6901" s="2" t="str">
        <f>"END-20"</f>
        <v>END-20</v>
      </c>
      <c r="D6901" t="s">
        <v>6976</v>
      </c>
      <c r="E6901" t="s">
        <v>4</v>
      </c>
      <c r="F6901">
        <v>19.84</v>
      </c>
      <c r="H6901" t="s">
        <v>5</v>
      </c>
      <c r="I6901" s="1">
        <v>54.91</v>
      </c>
      <c r="J6901" s="1">
        <v>53.05</v>
      </c>
      <c r="K6901" t="s">
        <v>6</v>
      </c>
    </row>
    <row r="6902" spans="1:11">
      <c r="A6902" t="s">
        <v>6847</v>
      </c>
      <c r="B6902">
        <v>457504</v>
      </c>
      <c r="C6902" s="2" t="str">
        <f>"END-24"</f>
        <v>END-24</v>
      </c>
      <c r="D6902" t="s">
        <v>6977</v>
      </c>
      <c r="E6902" t="s">
        <v>4</v>
      </c>
      <c r="F6902">
        <v>37.49</v>
      </c>
      <c r="H6902" t="s">
        <v>5</v>
      </c>
      <c r="I6902" s="1">
        <v>131.83000000000001</v>
      </c>
      <c r="J6902" s="1">
        <v>127.37</v>
      </c>
      <c r="K6902" t="s">
        <v>6</v>
      </c>
    </row>
    <row r="6903" spans="1:11">
      <c r="A6903" t="s">
        <v>6847</v>
      </c>
      <c r="B6903">
        <v>473717</v>
      </c>
      <c r="C6903" s="2" t="str">
        <f>"END-3"</f>
        <v>END-3</v>
      </c>
      <c r="D6903" t="s">
        <v>6978</v>
      </c>
      <c r="E6903" t="s">
        <v>4</v>
      </c>
      <c r="F6903">
        <v>23.15</v>
      </c>
      <c r="H6903" t="s">
        <v>5</v>
      </c>
      <c r="I6903" s="1">
        <v>94.28</v>
      </c>
      <c r="J6903" s="1">
        <v>91.08</v>
      </c>
      <c r="K6903" t="s">
        <v>6</v>
      </c>
    </row>
    <row r="6904" spans="1:11">
      <c r="A6904" t="s">
        <v>6847</v>
      </c>
      <c r="B6904">
        <v>457514</v>
      </c>
      <c r="C6904" s="2" t="str">
        <f>"END-4"</f>
        <v>END-4</v>
      </c>
      <c r="D6904" t="s">
        <v>6979</v>
      </c>
      <c r="E6904" t="s">
        <v>4</v>
      </c>
      <c r="F6904">
        <v>23.15</v>
      </c>
      <c r="H6904" t="s">
        <v>5</v>
      </c>
      <c r="I6904" s="1">
        <v>94.28</v>
      </c>
      <c r="J6904" s="1">
        <v>91.08</v>
      </c>
      <c r="K6904" t="s">
        <v>6</v>
      </c>
    </row>
    <row r="6905" spans="1:11">
      <c r="A6905" t="s">
        <v>6847</v>
      </c>
      <c r="B6905">
        <v>457510</v>
      </c>
      <c r="C6905" s="2" t="str">
        <f>"END-6"</f>
        <v>END-6</v>
      </c>
      <c r="D6905" t="s">
        <v>6980</v>
      </c>
      <c r="E6905" t="s">
        <v>4</v>
      </c>
      <c r="F6905">
        <v>28.66</v>
      </c>
      <c r="H6905" t="s">
        <v>5</v>
      </c>
      <c r="I6905" s="1">
        <v>74.95</v>
      </c>
      <c r="J6905" s="1">
        <v>72.41</v>
      </c>
      <c r="K6905" t="s">
        <v>6</v>
      </c>
    </row>
    <row r="6906" spans="1:11">
      <c r="A6906" t="s">
        <v>6847</v>
      </c>
      <c r="B6906">
        <v>457509</v>
      </c>
      <c r="C6906" s="2" t="str">
        <f>"END-7"</f>
        <v>END-7</v>
      </c>
      <c r="D6906" t="s">
        <v>6981</v>
      </c>
      <c r="E6906" t="s">
        <v>4</v>
      </c>
      <c r="F6906">
        <v>29.77</v>
      </c>
      <c r="H6906" t="s">
        <v>5</v>
      </c>
      <c r="I6906" s="1">
        <v>72.569999999999993</v>
      </c>
      <c r="J6906" s="1">
        <v>70.11</v>
      </c>
      <c r="K6906" t="s">
        <v>6</v>
      </c>
    </row>
    <row r="6907" spans="1:11">
      <c r="A6907" t="s">
        <v>6847</v>
      </c>
      <c r="B6907">
        <v>457519</v>
      </c>
      <c r="C6907" s="2" t="str">
        <f>"END-9"</f>
        <v>END-9</v>
      </c>
      <c r="D6907" t="s">
        <v>6982</v>
      </c>
      <c r="E6907" t="s">
        <v>4</v>
      </c>
      <c r="F6907">
        <v>44.1</v>
      </c>
      <c r="H6907" t="s">
        <v>5</v>
      </c>
      <c r="I6907" s="1">
        <v>85.48</v>
      </c>
      <c r="J6907" s="1">
        <v>82.59</v>
      </c>
      <c r="K6907" t="s">
        <v>6</v>
      </c>
    </row>
    <row r="6908" spans="1:11">
      <c r="A6908" t="s">
        <v>6847</v>
      </c>
      <c r="B6908">
        <v>520803</v>
      </c>
      <c r="C6908" s="2" t="str">
        <f>"HS-12"</f>
        <v>HS-12</v>
      </c>
      <c r="D6908" t="s">
        <v>6983</v>
      </c>
      <c r="E6908" t="s">
        <v>4</v>
      </c>
      <c r="F6908">
        <v>14.1</v>
      </c>
      <c r="H6908" t="s">
        <v>5</v>
      </c>
      <c r="I6908" s="1">
        <v>62.02</v>
      </c>
      <c r="J6908" s="1">
        <v>59.93</v>
      </c>
      <c r="K6908" t="s">
        <v>6</v>
      </c>
    </row>
    <row r="6909" spans="1:11">
      <c r="A6909" t="s">
        <v>6847</v>
      </c>
      <c r="B6909">
        <v>487976</v>
      </c>
      <c r="C6909" s="2" t="str">
        <f>"HS-18"</f>
        <v>HS-18</v>
      </c>
      <c r="D6909" t="s">
        <v>6984</v>
      </c>
      <c r="E6909" t="s">
        <v>4</v>
      </c>
      <c r="F6909">
        <v>18.7</v>
      </c>
      <c r="H6909" t="s">
        <v>5</v>
      </c>
      <c r="I6909" s="1">
        <v>76.58</v>
      </c>
      <c r="J6909" s="1">
        <v>74</v>
      </c>
      <c r="K6909" t="s">
        <v>6</v>
      </c>
    </row>
    <row r="6910" spans="1:11">
      <c r="A6910" t="s">
        <v>6847</v>
      </c>
      <c r="B6910">
        <v>397669</v>
      </c>
      <c r="C6910" s="2" t="str">
        <f>"NR-1"</f>
        <v>NR-1</v>
      </c>
      <c r="D6910" t="s">
        <v>6985</v>
      </c>
      <c r="E6910" t="s">
        <v>4</v>
      </c>
      <c r="F6910">
        <v>27</v>
      </c>
      <c r="H6910" t="s">
        <v>5</v>
      </c>
      <c r="I6910" s="1">
        <v>40</v>
      </c>
      <c r="J6910" s="1">
        <v>38.65</v>
      </c>
      <c r="K6910" t="s">
        <v>6</v>
      </c>
    </row>
    <row r="6911" spans="1:11">
      <c r="A6911" t="s">
        <v>6847</v>
      </c>
      <c r="B6911">
        <v>397671</v>
      </c>
      <c r="C6911" s="2" t="str">
        <f>"NR-11"</f>
        <v>NR-11</v>
      </c>
      <c r="D6911" t="s">
        <v>6986</v>
      </c>
      <c r="E6911" t="s">
        <v>4</v>
      </c>
      <c r="F6911">
        <v>18</v>
      </c>
      <c r="H6911" t="s">
        <v>5</v>
      </c>
      <c r="I6911" s="1">
        <v>25.51</v>
      </c>
      <c r="J6911" s="1">
        <v>24.65</v>
      </c>
      <c r="K6911" t="s">
        <v>6</v>
      </c>
    </row>
    <row r="6912" spans="1:11">
      <c r="A6912" t="s">
        <v>6847</v>
      </c>
      <c r="B6912">
        <v>397672</v>
      </c>
      <c r="C6912" s="2" t="str">
        <f>"NR-12"</f>
        <v>NR-12</v>
      </c>
      <c r="D6912" t="s">
        <v>6987</v>
      </c>
      <c r="E6912" t="s">
        <v>4</v>
      </c>
      <c r="F6912">
        <v>36.35</v>
      </c>
      <c r="H6912" t="s">
        <v>5</v>
      </c>
      <c r="I6912" s="1">
        <v>63.4</v>
      </c>
      <c r="J6912" s="1">
        <v>61.26</v>
      </c>
      <c r="K6912" t="s">
        <v>6</v>
      </c>
    </row>
    <row r="6913" spans="1:11">
      <c r="A6913" t="s">
        <v>6847</v>
      </c>
      <c r="B6913">
        <v>397673</v>
      </c>
      <c r="C6913" s="2" t="str">
        <f>"NR-13"</f>
        <v>NR-13</v>
      </c>
      <c r="D6913" t="s">
        <v>6988</v>
      </c>
      <c r="E6913" t="s">
        <v>4</v>
      </c>
      <c r="F6913">
        <v>31</v>
      </c>
      <c r="H6913" t="s">
        <v>5</v>
      </c>
      <c r="I6913" s="1">
        <v>46.46</v>
      </c>
      <c r="J6913" s="1">
        <v>44.89</v>
      </c>
      <c r="K6913" t="s">
        <v>6</v>
      </c>
    </row>
    <row r="6914" spans="1:11">
      <c r="A6914" t="s">
        <v>6847</v>
      </c>
      <c r="B6914">
        <v>397674</v>
      </c>
      <c r="C6914" s="2" t="str">
        <f>"NR-14"</f>
        <v>NR-14</v>
      </c>
      <c r="D6914" t="s">
        <v>6989</v>
      </c>
      <c r="E6914" t="s">
        <v>4</v>
      </c>
      <c r="F6914">
        <v>41</v>
      </c>
      <c r="H6914" t="s">
        <v>5</v>
      </c>
      <c r="I6914" s="1">
        <v>68.97</v>
      </c>
      <c r="J6914" s="1">
        <v>66.64</v>
      </c>
      <c r="K6914" t="s">
        <v>6</v>
      </c>
    </row>
    <row r="6915" spans="1:11">
      <c r="A6915" t="s">
        <v>6847</v>
      </c>
      <c r="B6915">
        <v>397675</v>
      </c>
      <c r="C6915" s="2" t="str">
        <f>"NR-16"</f>
        <v>NR-16</v>
      </c>
      <c r="D6915" t="s">
        <v>6990</v>
      </c>
      <c r="E6915" t="s">
        <v>4</v>
      </c>
      <c r="F6915">
        <v>27</v>
      </c>
      <c r="H6915" t="s">
        <v>5</v>
      </c>
      <c r="I6915" s="1">
        <v>34.61</v>
      </c>
      <c r="J6915" s="1">
        <v>33.44</v>
      </c>
      <c r="K6915" t="s">
        <v>6</v>
      </c>
    </row>
    <row r="6916" spans="1:11">
      <c r="A6916" t="s">
        <v>6847</v>
      </c>
      <c r="B6916">
        <v>397676</v>
      </c>
      <c r="C6916" s="2" t="str">
        <f>"NR-2"</f>
        <v>NR-2</v>
      </c>
      <c r="D6916" t="s">
        <v>6991</v>
      </c>
      <c r="E6916" t="s">
        <v>4</v>
      </c>
      <c r="F6916">
        <v>23</v>
      </c>
      <c r="H6916" t="s">
        <v>5</v>
      </c>
      <c r="I6916" s="1">
        <v>28.02</v>
      </c>
      <c r="J6916" s="1">
        <v>27.07</v>
      </c>
      <c r="K6916" t="s">
        <v>6</v>
      </c>
    </row>
    <row r="6917" spans="1:11">
      <c r="A6917" t="s">
        <v>6847</v>
      </c>
      <c r="B6917">
        <v>397679</v>
      </c>
      <c r="C6917" s="2" t="str">
        <f>"NR-5"</f>
        <v>NR-5</v>
      </c>
      <c r="D6917" t="s">
        <v>6992</v>
      </c>
      <c r="E6917" t="s">
        <v>4</v>
      </c>
      <c r="F6917">
        <v>21</v>
      </c>
      <c r="H6917" t="s">
        <v>5</v>
      </c>
      <c r="I6917" s="1">
        <v>26.85</v>
      </c>
      <c r="J6917" s="1">
        <v>25.94</v>
      </c>
      <c r="K6917" t="s">
        <v>6</v>
      </c>
    </row>
    <row r="6918" spans="1:11">
      <c r="A6918" t="s">
        <v>6847</v>
      </c>
      <c r="B6918">
        <v>397680</v>
      </c>
      <c r="C6918" s="2" t="str">
        <f>"NR-6"</f>
        <v>NR-6</v>
      </c>
      <c r="D6918" t="s">
        <v>6993</v>
      </c>
      <c r="E6918" t="s">
        <v>4</v>
      </c>
      <c r="F6918">
        <v>29</v>
      </c>
      <c r="H6918" t="s">
        <v>5</v>
      </c>
      <c r="I6918" s="1">
        <v>35.4</v>
      </c>
      <c r="J6918" s="1">
        <v>34.200000000000003</v>
      </c>
      <c r="K6918" t="s">
        <v>6</v>
      </c>
    </row>
    <row r="6919" spans="1:11">
      <c r="A6919" t="s">
        <v>6847</v>
      </c>
      <c r="B6919">
        <v>397681</v>
      </c>
      <c r="C6919" s="2" t="str">
        <f>"NR-7"</f>
        <v>NR-7</v>
      </c>
      <c r="D6919" t="s">
        <v>6994</v>
      </c>
      <c r="E6919" t="s">
        <v>4</v>
      </c>
      <c r="F6919">
        <v>36</v>
      </c>
      <c r="H6919" t="s">
        <v>5</v>
      </c>
      <c r="I6919" s="1">
        <v>41.94</v>
      </c>
      <c r="J6919" s="1">
        <v>40.520000000000003</v>
      </c>
      <c r="K6919" t="s">
        <v>6</v>
      </c>
    </row>
    <row r="6920" spans="1:11">
      <c r="A6920" t="s">
        <v>6847</v>
      </c>
      <c r="B6920">
        <v>397682</v>
      </c>
      <c r="C6920" s="2" t="str">
        <f>"NR-8"</f>
        <v>NR-8</v>
      </c>
      <c r="D6920" t="s">
        <v>6995</v>
      </c>
      <c r="E6920" t="s">
        <v>4</v>
      </c>
      <c r="F6920">
        <v>45</v>
      </c>
      <c r="H6920" t="s">
        <v>5</v>
      </c>
      <c r="I6920" s="1">
        <v>48.76</v>
      </c>
      <c r="J6920" s="1">
        <v>47.11</v>
      </c>
      <c r="K6920" t="s">
        <v>6</v>
      </c>
    </row>
    <row r="6921" spans="1:11">
      <c r="A6921" t="s">
        <v>6847</v>
      </c>
      <c r="B6921">
        <v>398903</v>
      </c>
      <c r="C6921" s="2" t="str">
        <f>"NR-9"</f>
        <v>NR-9</v>
      </c>
      <c r="D6921" t="s">
        <v>6996</v>
      </c>
      <c r="E6921" t="s">
        <v>4</v>
      </c>
      <c r="F6921">
        <v>49</v>
      </c>
      <c r="H6921" t="s">
        <v>5</v>
      </c>
      <c r="I6921" s="1">
        <v>56.26</v>
      </c>
      <c r="J6921" s="1">
        <v>54.37</v>
      </c>
      <c r="K6921" t="s">
        <v>6</v>
      </c>
    </row>
    <row r="6922" spans="1:11">
      <c r="A6922" t="s">
        <v>6847</v>
      </c>
      <c r="B6922">
        <v>397685</v>
      </c>
      <c r="C6922" s="2" t="str">
        <f>"OAG12WW"</f>
        <v>OAG12WW</v>
      </c>
      <c r="D6922" t="s">
        <v>6997</v>
      </c>
      <c r="E6922" t="s">
        <v>4</v>
      </c>
      <c r="F6922">
        <v>33.1</v>
      </c>
      <c r="H6922" t="s">
        <v>5</v>
      </c>
      <c r="I6922" s="1">
        <v>65.489999999999995</v>
      </c>
      <c r="J6922" s="1">
        <v>63.28</v>
      </c>
      <c r="K6922" t="s">
        <v>6</v>
      </c>
    </row>
    <row r="6923" spans="1:11">
      <c r="A6923" t="s">
        <v>6847</v>
      </c>
      <c r="B6923">
        <v>413902</v>
      </c>
      <c r="C6923" s="2" t="str">
        <f>"OAG-15-WW"</f>
        <v>OAG-15-WW</v>
      </c>
      <c r="D6923" t="s">
        <v>6998</v>
      </c>
      <c r="E6923" t="s">
        <v>4</v>
      </c>
      <c r="F6923">
        <v>36.380000000000003</v>
      </c>
      <c r="H6923" t="s">
        <v>5</v>
      </c>
      <c r="I6923" s="1">
        <v>75</v>
      </c>
      <c r="J6923" s="1">
        <v>72.459999999999994</v>
      </c>
      <c r="K6923" t="s">
        <v>6</v>
      </c>
    </row>
    <row r="6924" spans="1:11">
      <c r="A6924" t="s">
        <v>6847</v>
      </c>
      <c r="B6924">
        <v>522394</v>
      </c>
      <c r="C6924" s="2" t="str">
        <f>"OAG-8WW"</f>
        <v>OAG-8WW</v>
      </c>
      <c r="D6924" t="s">
        <v>6999</v>
      </c>
      <c r="E6924" t="s">
        <v>4</v>
      </c>
      <c r="F6924">
        <v>24.26</v>
      </c>
      <c r="H6924" t="s">
        <v>5</v>
      </c>
      <c r="I6924" s="1">
        <v>80.28</v>
      </c>
      <c r="J6924" s="1">
        <v>77.56</v>
      </c>
      <c r="K6924" t="s">
        <v>6</v>
      </c>
    </row>
    <row r="6925" spans="1:11">
      <c r="A6925" t="s">
        <v>6847</v>
      </c>
      <c r="B6925">
        <v>397689</v>
      </c>
      <c r="C6925" s="2" t="str">
        <f>"OSC12"</f>
        <v>OSC12</v>
      </c>
      <c r="D6925" t="s">
        <v>7000</v>
      </c>
      <c r="E6925" t="s">
        <v>4</v>
      </c>
      <c r="F6925">
        <v>30.87</v>
      </c>
      <c r="H6925" t="s">
        <v>5</v>
      </c>
      <c r="I6925" s="1">
        <v>44.3</v>
      </c>
      <c r="J6925" s="1">
        <v>42.81</v>
      </c>
      <c r="K6925" t="s">
        <v>6</v>
      </c>
    </row>
    <row r="6926" spans="1:11">
      <c r="A6926" t="s">
        <v>6847</v>
      </c>
      <c r="B6926">
        <v>397691</v>
      </c>
      <c r="C6926" s="2" t="str">
        <f>"OSC15"</f>
        <v>OSC15</v>
      </c>
      <c r="D6926" t="s">
        <v>7001</v>
      </c>
      <c r="E6926" t="s">
        <v>4</v>
      </c>
      <c r="F6926">
        <v>30.87</v>
      </c>
      <c r="H6926" t="s">
        <v>5</v>
      </c>
      <c r="I6926" s="1">
        <v>40.520000000000003</v>
      </c>
      <c r="J6926" s="1">
        <v>39.159999999999997</v>
      </c>
      <c r="K6926" t="s">
        <v>6</v>
      </c>
    </row>
    <row r="6927" spans="1:11">
      <c r="A6927" t="s">
        <v>6847</v>
      </c>
      <c r="B6927">
        <v>397692</v>
      </c>
      <c r="C6927" s="2" t="str">
        <f>"OSC15H"</f>
        <v>OSC15H</v>
      </c>
      <c r="D6927" t="s">
        <v>7002</v>
      </c>
      <c r="E6927" t="s">
        <v>4</v>
      </c>
      <c r="F6927">
        <v>30.9</v>
      </c>
      <c r="H6927" t="s">
        <v>5</v>
      </c>
      <c r="I6927" s="1">
        <v>51.73</v>
      </c>
      <c r="J6927" s="1">
        <v>49.97</v>
      </c>
      <c r="K6927" t="s">
        <v>6</v>
      </c>
    </row>
    <row r="6928" spans="1:11">
      <c r="A6928" t="s">
        <v>6847</v>
      </c>
      <c r="B6928">
        <v>397693</v>
      </c>
      <c r="C6928" s="2" t="str">
        <f>"PWC-1"</f>
        <v>PWC-1</v>
      </c>
      <c r="D6928" t="s">
        <v>7003</v>
      </c>
      <c r="E6928" t="s">
        <v>4</v>
      </c>
      <c r="F6928">
        <v>27.2</v>
      </c>
      <c r="H6928" t="s">
        <v>5</v>
      </c>
      <c r="I6928" s="1">
        <v>36.57</v>
      </c>
      <c r="J6928" s="1">
        <v>35.33</v>
      </c>
      <c r="K6928" t="s">
        <v>6</v>
      </c>
    </row>
    <row r="6929" spans="1:11">
      <c r="A6929" t="s">
        <v>6847</v>
      </c>
      <c r="B6929">
        <v>397695</v>
      </c>
      <c r="C6929" s="2" t="str">
        <f>"PWC-10"</f>
        <v>PWC-10</v>
      </c>
      <c r="D6929" t="s">
        <v>7004</v>
      </c>
      <c r="E6929" t="s">
        <v>4</v>
      </c>
      <c r="F6929">
        <v>40</v>
      </c>
      <c r="H6929" t="s">
        <v>5</v>
      </c>
      <c r="I6929" s="1">
        <v>47.35</v>
      </c>
      <c r="J6929" s="1">
        <v>45.75</v>
      </c>
      <c r="K6929" t="s">
        <v>6</v>
      </c>
    </row>
    <row r="6930" spans="1:11">
      <c r="A6930" t="s">
        <v>6847</v>
      </c>
      <c r="B6930">
        <v>397697</v>
      </c>
      <c r="C6930" s="2" t="str">
        <f>"PWC-11"</f>
        <v>PWC-11</v>
      </c>
      <c r="D6930" t="s">
        <v>7005</v>
      </c>
      <c r="E6930" t="s">
        <v>4</v>
      </c>
      <c r="F6930">
        <v>16.45</v>
      </c>
      <c r="H6930" t="s">
        <v>5</v>
      </c>
      <c r="I6930" s="1">
        <v>27.76</v>
      </c>
      <c r="J6930" s="1">
        <v>26.81</v>
      </c>
      <c r="K6930" t="s">
        <v>6</v>
      </c>
    </row>
    <row r="6931" spans="1:11">
      <c r="A6931" t="s">
        <v>6847</v>
      </c>
      <c r="B6931">
        <v>397698</v>
      </c>
      <c r="C6931" s="2" t="str">
        <f>"PWC-12"</f>
        <v>PWC-12</v>
      </c>
      <c r="D6931" t="s">
        <v>7006</v>
      </c>
      <c r="E6931" t="s">
        <v>4</v>
      </c>
      <c r="F6931">
        <v>43</v>
      </c>
      <c r="H6931" t="s">
        <v>5</v>
      </c>
      <c r="I6931" s="1">
        <v>69.03</v>
      </c>
      <c r="J6931" s="1">
        <v>66.69</v>
      </c>
      <c r="K6931" t="s">
        <v>6</v>
      </c>
    </row>
    <row r="6932" spans="1:11">
      <c r="A6932" t="s">
        <v>6847</v>
      </c>
      <c r="B6932">
        <v>397699</v>
      </c>
      <c r="C6932" s="2" t="str">
        <f>"PWC-13"</f>
        <v>PWC-13</v>
      </c>
      <c r="D6932" t="s">
        <v>7007</v>
      </c>
      <c r="E6932" t="s">
        <v>4</v>
      </c>
      <c r="F6932">
        <v>25</v>
      </c>
      <c r="H6932" t="s">
        <v>5</v>
      </c>
      <c r="I6932" s="1">
        <v>45.19</v>
      </c>
      <c r="J6932" s="1">
        <v>43.65</v>
      </c>
      <c r="K6932" t="s">
        <v>6</v>
      </c>
    </row>
    <row r="6933" spans="1:11">
      <c r="A6933" t="s">
        <v>6847</v>
      </c>
      <c r="B6933">
        <v>397700</v>
      </c>
      <c r="C6933" s="2" t="str">
        <f>"PWC-14"</f>
        <v>PWC-14</v>
      </c>
      <c r="D6933" t="s">
        <v>7008</v>
      </c>
      <c r="E6933" t="s">
        <v>4</v>
      </c>
      <c r="F6933">
        <v>35.4</v>
      </c>
      <c r="H6933" t="s">
        <v>5</v>
      </c>
      <c r="I6933" s="1">
        <v>55.84</v>
      </c>
      <c r="J6933" s="1">
        <v>53.95</v>
      </c>
      <c r="K6933" t="s">
        <v>6</v>
      </c>
    </row>
    <row r="6934" spans="1:11">
      <c r="A6934" t="s">
        <v>6847</v>
      </c>
      <c r="B6934">
        <v>397990</v>
      </c>
      <c r="C6934" s="2" t="str">
        <f>"PWC-15"</f>
        <v>PWC-15</v>
      </c>
      <c r="D6934" t="s">
        <v>7009</v>
      </c>
      <c r="E6934" t="s">
        <v>4</v>
      </c>
      <c r="F6934">
        <v>35.35</v>
      </c>
      <c r="H6934" t="s">
        <v>5</v>
      </c>
      <c r="I6934" s="1">
        <v>44.71</v>
      </c>
      <c r="J6934" s="1">
        <v>43.19</v>
      </c>
      <c r="K6934" t="s">
        <v>6</v>
      </c>
    </row>
    <row r="6935" spans="1:11">
      <c r="A6935" t="s">
        <v>6847</v>
      </c>
      <c r="B6935">
        <v>397701</v>
      </c>
      <c r="C6935" s="2" t="str">
        <f>"PWC-16"</f>
        <v>PWC-16</v>
      </c>
      <c r="D6935" t="s">
        <v>7010</v>
      </c>
      <c r="E6935" t="s">
        <v>4</v>
      </c>
      <c r="F6935">
        <v>30.45</v>
      </c>
      <c r="H6935" t="s">
        <v>5</v>
      </c>
      <c r="I6935" s="1">
        <v>78.819999999999993</v>
      </c>
      <c r="J6935" s="1">
        <v>76.14</v>
      </c>
      <c r="K6935" t="s">
        <v>6</v>
      </c>
    </row>
    <row r="6936" spans="1:11">
      <c r="A6936" t="s">
        <v>6847</v>
      </c>
      <c r="B6936">
        <v>397702</v>
      </c>
      <c r="C6936" s="2" t="str">
        <f>"PWC-18"</f>
        <v>PWC-18</v>
      </c>
      <c r="D6936" t="s">
        <v>7011</v>
      </c>
      <c r="E6936" t="s">
        <v>4</v>
      </c>
      <c r="F6936">
        <v>41</v>
      </c>
      <c r="H6936" t="s">
        <v>5</v>
      </c>
      <c r="I6936" s="1">
        <v>52.31</v>
      </c>
      <c r="J6936" s="1">
        <v>50.54</v>
      </c>
      <c r="K6936" t="s">
        <v>6</v>
      </c>
    </row>
    <row r="6937" spans="1:11">
      <c r="A6937" t="s">
        <v>6847</v>
      </c>
      <c r="B6937">
        <v>397704</v>
      </c>
      <c r="C6937" s="2" t="str">
        <f>"PWC-2"</f>
        <v>PWC-2</v>
      </c>
      <c r="D6937" t="s">
        <v>7012</v>
      </c>
      <c r="E6937" t="s">
        <v>4</v>
      </c>
      <c r="F6937">
        <v>23</v>
      </c>
      <c r="H6937" t="s">
        <v>5</v>
      </c>
      <c r="I6937" s="1">
        <v>27.73</v>
      </c>
      <c r="J6937" s="1">
        <v>26.79</v>
      </c>
      <c r="K6937" t="s">
        <v>6</v>
      </c>
    </row>
    <row r="6938" spans="1:11">
      <c r="A6938" t="s">
        <v>6847</v>
      </c>
      <c r="B6938">
        <v>397705</v>
      </c>
      <c r="C6938" s="2" t="str">
        <f>"PWC-24"</f>
        <v>PWC-24</v>
      </c>
      <c r="D6938" t="s">
        <v>7013</v>
      </c>
      <c r="E6938" t="s">
        <v>4</v>
      </c>
      <c r="F6938">
        <v>30.9</v>
      </c>
      <c r="H6938" t="s">
        <v>5</v>
      </c>
      <c r="I6938" s="1">
        <v>47.83</v>
      </c>
      <c r="J6938" s="1">
        <v>46.22</v>
      </c>
      <c r="K6938" t="s">
        <v>6</v>
      </c>
    </row>
    <row r="6939" spans="1:11">
      <c r="A6939" t="s">
        <v>6847</v>
      </c>
      <c r="B6939">
        <v>397706</v>
      </c>
      <c r="C6939" s="2" t="str">
        <f>"PWC-3"</f>
        <v>PWC-3</v>
      </c>
      <c r="D6939" t="s">
        <v>7014</v>
      </c>
      <c r="E6939" t="s">
        <v>4</v>
      </c>
      <c r="F6939">
        <v>36</v>
      </c>
      <c r="H6939" t="s">
        <v>5</v>
      </c>
      <c r="I6939" s="1">
        <v>52.42</v>
      </c>
      <c r="J6939" s="1">
        <v>50.65</v>
      </c>
      <c r="K6939" t="s">
        <v>6</v>
      </c>
    </row>
    <row r="6940" spans="1:11">
      <c r="A6940" t="s">
        <v>6847</v>
      </c>
      <c r="B6940">
        <v>397708</v>
      </c>
      <c r="C6940" s="2" t="str">
        <f>"PWC-31"</f>
        <v>PWC-31</v>
      </c>
      <c r="D6940" t="s">
        <v>7015</v>
      </c>
      <c r="E6940" t="s">
        <v>4</v>
      </c>
      <c r="F6940">
        <v>25</v>
      </c>
      <c r="H6940" t="s">
        <v>5</v>
      </c>
      <c r="I6940" s="1">
        <v>36.57</v>
      </c>
      <c r="J6940" s="1">
        <v>35.33</v>
      </c>
      <c r="K6940" t="s">
        <v>6</v>
      </c>
    </row>
    <row r="6941" spans="1:11">
      <c r="A6941" t="s">
        <v>6847</v>
      </c>
      <c r="B6941">
        <v>397709</v>
      </c>
      <c r="C6941" s="2" t="str">
        <f>"PWC-32"</f>
        <v>PWC-32</v>
      </c>
      <c r="D6941" t="s">
        <v>7016</v>
      </c>
      <c r="E6941" t="s">
        <v>4</v>
      </c>
      <c r="F6941">
        <v>14.5</v>
      </c>
      <c r="H6941" t="s">
        <v>5</v>
      </c>
      <c r="I6941" s="1">
        <v>23.3</v>
      </c>
      <c r="J6941" s="1">
        <v>22.5</v>
      </c>
      <c r="K6941" t="s">
        <v>6</v>
      </c>
    </row>
    <row r="6942" spans="1:11">
      <c r="A6942" t="s">
        <v>6847</v>
      </c>
      <c r="B6942">
        <v>397710</v>
      </c>
      <c r="C6942" s="2" t="str">
        <f>"PWC-34"</f>
        <v>PWC-34</v>
      </c>
      <c r="D6942" t="s">
        <v>7017</v>
      </c>
      <c r="E6942" t="s">
        <v>4</v>
      </c>
      <c r="F6942">
        <v>31</v>
      </c>
      <c r="H6942" t="s">
        <v>5</v>
      </c>
      <c r="I6942" s="1">
        <v>56.11</v>
      </c>
      <c r="J6942" s="1">
        <v>54.21</v>
      </c>
      <c r="K6942" t="s">
        <v>6</v>
      </c>
    </row>
    <row r="6943" spans="1:11">
      <c r="A6943" t="s">
        <v>6847</v>
      </c>
      <c r="B6943">
        <v>399817</v>
      </c>
      <c r="C6943" s="2" t="str">
        <f>"PWC-39"</f>
        <v>PWC-39</v>
      </c>
      <c r="D6943" t="s">
        <v>7018</v>
      </c>
      <c r="E6943" t="s">
        <v>4</v>
      </c>
      <c r="F6943">
        <v>40</v>
      </c>
      <c r="H6943" t="s">
        <v>5</v>
      </c>
      <c r="I6943" s="1">
        <v>70.239999999999995</v>
      </c>
      <c r="J6943" s="1">
        <v>67.86</v>
      </c>
      <c r="K6943" t="s">
        <v>6</v>
      </c>
    </row>
    <row r="6944" spans="1:11">
      <c r="A6944" t="s">
        <v>6847</v>
      </c>
      <c r="B6944">
        <v>397712</v>
      </c>
      <c r="C6944" s="2" t="str">
        <f>"PWC-4"</f>
        <v>PWC-4</v>
      </c>
      <c r="D6944" t="s">
        <v>7019</v>
      </c>
      <c r="E6944" t="s">
        <v>4</v>
      </c>
      <c r="F6944">
        <v>24</v>
      </c>
      <c r="H6944" t="s">
        <v>5</v>
      </c>
      <c r="I6944" s="1">
        <v>32.85</v>
      </c>
      <c r="J6944" s="1">
        <v>31.75</v>
      </c>
      <c r="K6944" t="s">
        <v>6</v>
      </c>
    </row>
    <row r="6945" spans="1:11">
      <c r="A6945" t="s">
        <v>6847</v>
      </c>
      <c r="B6945">
        <v>399280</v>
      </c>
      <c r="C6945" s="2" t="str">
        <f>"PWC-5"</f>
        <v>PWC-5</v>
      </c>
      <c r="D6945" t="s">
        <v>7020</v>
      </c>
      <c r="E6945" t="s">
        <v>4</v>
      </c>
      <c r="F6945">
        <v>19.2</v>
      </c>
      <c r="H6945" t="s">
        <v>5</v>
      </c>
      <c r="I6945" s="1">
        <v>26.08</v>
      </c>
      <c r="J6945" s="1">
        <v>25.19</v>
      </c>
      <c r="K6945" t="s">
        <v>6</v>
      </c>
    </row>
    <row r="6946" spans="1:11">
      <c r="A6946" t="s">
        <v>6847</v>
      </c>
      <c r="B6946">
        <v>410330</v>
      </c>
      <c r="C6946" s="2" t="str">
        <f>"PWC-50"</f>
        <v>PWC-50</v>
      </c>
      <c r="D6946" t="s">
        <v>7021</v>
      </c>
      <c r="E6946" t="s">
        <v>4</v>
      </c>
      <c r="F6946">
        <v>41.3</v>
      </c>
      <c r="H6946" t="s">
        <v>5</v>
      </c>
      <c r="I6946" s="1">
        <v>59.05</v>
      </c>
      <c r="J6946" s="1">
        <v>57.04</v>
      </c>
      <c r="K6946" t="s">
        <v>6</v>
      </c>
    </row>
    <row r="6947" spans="1:11">
      <c r="A6947" t="s">
        <v>6847</v>
      </c>
      <c r="B6947">
        <v>397714</v>
      </c>
      <c r="C6947" s="2" t="str">
        <f>"PWC-6"</f>
        <v>PWC-6</v>
      </c>
      <c r="D6947" t="s">
        <v>7022</v>
      </c>
      <c r="E6947" t="s">
        <v>4</v>
      </c>
      <c r="F6947">
        <v>31</v>
      </c>
      <c r="H6947" t="s">
        <v>5</v>
      </c>
      <c r="I6947" s="1">
        <v>33.46</v>
      </c>
      <c r="J6947" s="1">
        <v>32.33</v>
      </c>
      <c r="K6947" t="s">
        <v>6</v>
      </c>
    </row>
    <row r="6948" spans="1:11">
      <c r="A6948" t="s">
        <v>6847</v>
      </c>
      <c r="B6948">
        <v>464487</v>
      </c>
      <c r="C6948" s="2" t="str">
        <f>"PWC-60"</f>
        <v>PWC-60</v>
      </c>
      <c r="D6948" t="s">
        <v>7023</v>
      </c>
      <c r="E6948" t="s">
        <v>4</v>
      </c>
      <c r="F6948">
        <v>33.07</v>
      </c>
      <c r="H6948" t="s">
        <v>5</v>
      </c>
      <c r="I6948" s="1">
        <v>81.34</v>
      </c>
      <c r="J6948" s="1">
        <v>78.59</v>
      </c>
      <c r="K6948" t="s">
        <v>6</v>
      </c>
    </row>
    <row r="6949" spans="1:11">
      <c r="A6949" t="s">
        <v>6847</v>
      </c>
      <c r="B6949">
        <v>397729</v>
      </c>
      <c r="C6949" s="2" t="str">
        <f>"PWC-7"</f>
        <v>PWC-7</v>
      </c>
      <c r="D6949" t="s">
        <v>7024</v>
      </c>
      <c r="E6949" t="s">
        <v>4</v>
      </c>
      <c r="F6949">
        <v>35</v>
      </c>
      <c r="H6949" t="s">
        <v>5</v>
      </c>
      <c r="I6949" s="1">
        <v>39.39</v>
      </c>
      <c r="J6949" s="1">
        <v>38.06</v>
      </c>
      <c r="K6949" t="s">
        <v>6</v>
      </c>
    </row>
    <row r="6950" spans="1:11">
      <c r="A6950" t="s">
        <v>6847</v>
      </c>
      <c r="B6950">
        <v>397731</v>
      </c>
      <c r="C6950" s="2" t="str">
        <f>"PWC-8"</f>
        <v>PWC-8</v>
      </c>
      <c r="D6950" t="s">
        <v>7025</v>
      </c>
      <c r="E6950" t="s">
        <v>4</v>
      </c>
      <c r="F6950">
        <v>40</v>
      </c>
      <c r="H6950" t="s">
        <v>5</v>
      </c>
      <c r="I6950" s="1">
        <v>43.03</v>
      </c>
      <c r="J6950" s="1">
        <v>41.57</v>
      </c>
      <c r="K6950" t="s">
        <v>6</v>
      </c>
    </row>
    <row r="6951" spans="1:11">
      <c r="A6951" t="s">
        <v>6847</v>
      </c>
      <c r="B6951">
        <v>397733</v>
      </c>
      <c r="C6951" s="2" t="str">
        <f>"PWC-9"</f>
        <v>PWC-9</v>
      </c>
      <c r="D6951" t="s">
        <v>7026</v>
      </c>
      <c r="E6951" t="s">
        <v>4</v>
      </c>
      <c r="F6951">
        <v>44</v>
      </c>
      <c r="H6951" t="s">
        <v>5</v>
      </c>
      <c r="I6951" s="1">
        <v>51.31</v>
      </c>
      <c r="J6951" s="1">
        <v>49.58</v>
      </c>
      <c r="K6951" t="s">
        <v>6</v>
      </c>
    </row>
    <row r="6952" spans="1:11">
      <c r="A6952" t="s">
        <v>6847</v>
      </c>
      <c r="B6952">
        <v>399751</v>
      </c>
      <c r="C6952" s="2" t="str">
        <f>"RM-P-CP"</f>
        <v>RM-P-CP</v>
      </c>
      <c r="D6952" t="s">
        <v>7027</v>
      </c>
      <c r="E6952" t="s">
        <v>4</v>
      </c>
      <c r="F6952">
        <v>41.9</v>
      </c>
      <c r="H6952" t="s">
        <v>5</v>
      </c>
      <c r="I6952" s="1">
        <v>57.81</v>
      </c>
      <c r="J6952" s="1">
        <v>57.01</v>
      </c>
      <c r="K6952" t="s">
        <v>6</v>
      </c>
    </row>
    <row r="6953" spans="1:11">
      <c r="A6953" t="s">
        <v>6847</v>
      </c>
      <c r="B6953">
        <v>399753</v>
      </c>
      <c r="C6953" s="2" t="str">
        <f>"RM-P-WP"</f>
        <v>RM-P-WP</v>
      </c>
      <c r="D6953" t="s">
        <v>7028</v>
      </c>
      <c r="E6953" t="s">
        <v>4</v>
      </c>
      <c r="F6953">
        <v>41.9</v>
      </c>
      <c r="H6953" t="s">
        <v>5</v>
      </c>
      <c r="I6953" s="1">
        <v>52.61</v>
      </c>
      <c r="J6953" s="1">
        <v>51.31</v>
      </c>
      <c r="K6953" t="s">
        <v>6</v>
      </c>
    </row>
    <row r="6954" spans="1:11">
      <c r="A6954" t="s">
        <v>6847</v>
      </c>
      <c r="B6954">
        <v>464301</v>
      </c>
      <c r="C6954" s="2" t="str">
        <f>"SL-10"</f>
        <v>SL-10</v>
      </c>
      <c r="D6954" t="s">
        <v>7029</v>
      </c>
      <c r="E6954" t="s">
        <v>4</v>
      </c>
      <c r="F6954">
        <v>31.9</v>
      </c>
      <c r="H6954" t="s">
        <v>5</v>
      </c>
      <c r="I6954" s="1">
        <v>111.35</v>
      </c>
      <c r="J6954" s="1">
        <v>107.58</v>
      </c>
      <c r="K6954" t="s">
        <v>6</v>
      </c>
    </row>
    <row r="6955" spans="1:11">
      <c r="A6955" t="s">
        <v>6847</v>
      </c>
      <c r="B6955">
        <v>464298</v>
      </c>
      <c r="C6955" s="2" t="str">
        <f>"SL-14"</f>
        <v>SL-14</v>
      </c>
      <c r="D6955" t="s">
        <v>7030</v>
      </c>
      <c r="E6955" t="s">
        <v>4</v>
      </c>
      <c r="F6955">
        <v>33.07</v>
      </c>
      <c r="H6955" t="s">
        <v>5</v>
      </c>
      <c r="I6955" s="1">
        <v>154.34</v>
      </c>
      <c r="J6955" s="1">
        <v>115.86</v>
      </c>
      <c r="K6955" t="s">
        <v>6</v>
      </c>
    </row>
    <row r="6956" spans="1:11">
      <c r="A6956" t="s">
        <v>6847</v>
      </c>
      <c r="B6956">
        <v>464296</v>
      </c>
      <c r="C6956" s="2" t="str">
        <f>"SL-20"</f>
        <v>SL-20</v>
      </c>
      <c r="D6956" t="s">
        <v>7031</v>
      </c>
      <c r="E6956" t="s">
        <v>4</v>
      </c>
      <c r="F6956">
        <v>25.3</v>
      </c>
      <c r="H6956" t="s">
        <v>5</v>
      </c>
      <c r="I6956" s="1">
        <v>129.72999999999999</v>
      </c>
      <c r="J6956" s="1">
        <v>123.24</v>
      </c>
      <c r="K6956" t="s">
        <v>6</v>
      </c>
    </row>
    <row r="6957" spans="1:11">
      <c r="A6957" t="s">
        <v>6847</v>
      </c>
      <c r="B6957">
        <v>464297</v>
      </c>
      <c r="C6957" s="2" t="str">
        <f>"SL-21"</f>
        <v>SL-21</v>
      </c>
      <c r="D6957" t="s">
        <v>7032</v>
      </c>
      <c r="E6957" t="s">
        <v>4</v>
      </c>
      <c r="F6957">
        <v>15.4</v>
      </c>
      <c r="H6957" t="s">
        <v>5</v>
      </c>
      <c r="I6957" s="1">
        <v>94.95</v>
      </c>
      <c r="J6957" s="1">
        <v>69.33</v>
      </c>
      <c r="K6957" t="s">
        <v>6</v>
      </c>
    </row>
    <row r="6958" spans="1:11">
      <c r="A6958" t="s">
        <v>6847</v>
      </c>
      <c r="B6958">
        <v>461227</v>
      </c>
      <c r="C6958" s="2" t="str">
        <f>"SL-22"</f>
        <v>SL-22</v>
      </c>
      <c r="D6958" t="s">
        <v>7033</v>
      </c>
      <c r="E6958" t="s">
        <v>4</v>
      </c>
      <c r="F6958">
        <v>26.4</v>
      </c>
      <c r="H6958" t="s">
        <v>5</v>
      </c>
      <c r="I6958" s="1">
        <v>113.85</v>
      </c>
      <c r="J6958" s="1">
        <v>86.44</v>
      </c>
      <c r="K6958" t="s">
        <v>6</v>
      </c>
    </row>
    <row r="6959" spans="1:11">
      <c r="A6959" t="s">
        <v>6847</v>
      </c>
      <c r="B6959">
        <v>482579</v>
      </c>
      <c r="C6959" s="2" t="str">
        <f>"SL-23"</f>
        <v>SL-23</v>
      </c>
      <c r="D6959" t="s">
        <v>7034</v>
      </c>
      <c r="E6959" t="s">
        <v>4</v>
      </c>
      <c r="F6959">
        <v>19</v>
      </c>
      <c r="H6959" t="s">
        <v>5</v>
      </c>
      <c r="I6959" s="1">
        <v>145.72999999999999</v>
      </c>
      <c r="J6959" s="1">
        <v>138.44999999999999</v>
      </c>
      <c r="K6959" t="s">
        <v>6</v>
      </c>
    </row>
    <row r="6960" spans="1:11">
      <c r="A6960" t="s">
        <v>6847</v>
      </c>
      <c r="B6960">
        <v>488358</v>
      </c>
      <c r="C6960" s="2" t="str">
        <f>"SL-40"</f>
        <v>SL-40</v>
      </c>
      <c r="D6960" t="s">
        <v>7035</v>
      </c>
      <c r="E6960" t="s">
        <v>4</v>
      </c>
      <c r="F6960">
        <v>28</v>
      </c>
      <c r="H6960" t="s">
        <v>5</v>
      </c>
      <c r="I6960" s="1">
        <v>130.43</v>
      </c>
      <c r="J6960" s="1">
        <v>123.92</v>
      </c>
      <c r="K6960" t="s">
        <v>6</v>
      </c>
    </row>
    <row r="6961" spans="1:11">
      <c r="A6961" t="s">
        <v>6847</v>
      </c>
      <c r="B6961">
        <v>464295</v>
      </c>
      <c r="C6961" s="2" t="str">
        <f>"SL-6"</f>
        <v>SL-6</v>
      </c>
      <c r="D6961" t="s">
        <v>7036</v>
      </c>
      <c r="E6961" t="s">
        <v>4</v>
      </c>
      <c r="F6961">
        <v>28.6</v>
      </c>
      <c r="H6961" t="s">
        <v>5</v>
      </c>
      <c r="I6961" s="1">
        <v>115.19</v>
      </c>
      <c r="J6961" s="1">
        <v>88.62</v>
      </c>
      <c r="K6961" t="s">
        <v>6</v>
      </c>
    </row>
    <row r="6962" spans="1:11">
      <c r="A6962" t="s">
        <v>6847</v>
      </c>
      <c r="B6962">
        <v>469909</v>
      </c>
      <c r="C6962" s="2" t="str">
        <f>"SL-7"</f>
        <v>SL-7</v>
      </c>
      <c r="D6962" t="s">
        <v>7037</v>
      </c>
      <c r="E6962" t="s">
        <v>4</v>
      </c>
      <c r="F6962">
        <v>27.5</v>
      </c>
      <c r="H6962" t="s">
        <v>5</v>
      </c>
      <c r="I6962" s="1">
        <v>141.38999999999999</v>
      </c>
      <c r="J6962" s="1">
        <v>103.83</v>
      </c>
      <c r="K6962" t="s">
        <v>6</v>
      </c>
    </row>
    <row r="6963" spans="1:11">
      <c r="A6963" t="s">
        <v>6847</v>
      </c>
      <c r="B6963">
        <v>464293</v>
      </c>
      <c r="C6963" s="2" t="str">
        <f>"SL-9"</f>
        <v>SL-9</v>
      </c>
      <c r="D6963" t="s">
        <v>7038</v>
      </c>
      <c r="E6963" t="s">
        <v>4</v>
      </c>
      <c r="F6963">
        <v>23.1</v>
      </c>
      <c r="H6963" t="s">
        <v>5</v>
      </c>
      <c r="I6963" s="1">
        <v>90.34</v>
      </c>
      <c r="J6963" s="1">
        <v>69.02</v>
      </c>
      <c r="K6963" t="s">
        <v>6</v>
      </c>
    </row>
    <row r="6964" spans="1:11">
      <c r="A6964" t="s">
        <v>6847</v>
      </c>
      <c r="B6964">
        <v>498940</v>
      </c>
      <c r="C6964" s="2" t="str">
        <f>"SPH-716-W"</f>
        <v>SPH-716-W</v>
      </c>
      <c r="D6964" t="s">
        <v>7039</v>
      </c>
      <c r="E6964" t="s">
        <v>4</v>
      </c>
      <c r="F6964">
        <v>25</v>
      </c>
      <c r="H6964" t="s">
        <v>5</v>
      </c>
      <c r="I6964" s="1">
        <v>96.1</v>
      </c>
      <c r="J6964" s="1">
        <v>92.85</v>
      </c>
      <c r="K6964" t="s">
        <v>6</v>
      </c>
    </row>
    <row r="6965" spans="1:11">
      <c r="A6965" t="s">
        <v>6847</v>
      </c>
      <c r="B6965">
        <v>397776</v>
      </c>
      <c r="C6965" s="2" t="str">
        <f>"TM-8-W"</f>
        <v>TM-8-W</v>
      </c>
      <c r="D6965" t="s">
        <v>7040</v>
      </c>
      <c r="E6965" t="s">
        <v>4</v>
      </c>
      <c r="F6965">
        <v>33</v>
      </c>
      <c r="H6965" t="s">
        <v>5</v>
      </c>
      <c r="I6965" s="1">
        <v>55.42</v>
      </c>
      <c r="J6965" s="1">
        <v>39.380000000000003</v>
      </c>
      <c r="K6965" t="s">
        <v>6</v>
      </c>
    </row>
    <row r="6966" spans="1:11">
      <c r="A6966" t="s">
        <v>6847</v>
      </c>
      <c r="B6966">
        <v>397777</v>
      </c>
      <c r="C6966" s="2" t="str">
        <f>"VIC-11"</f>
        <v>VIC-11</v>
      </c>
      <c r="D6966" t="s">
        <v>7041</v>
      </c>
      <c r="E6966" t="s">
        <v>4</v>
      </c>
      <c r="F6966">
        <v>23</v>
      </c>
      <c r="H6966" t="s">
        <v>5</v>
      </c>
      <c r="I6966" s="1">
        <v>27.2</v>
      </c>
      <c r="J6966" s="1">
        <v>25.91</v>
      </c>
      <c r="K6966" t="s">
        <v>6</v>
      </c>
    </row>
    <row r="6967" spans="1:11">
      <c r="A6967" t="s">
        <v>6847</v>
      </c>
      <c r="B6967">
        <v>397778</v>
      </c>
      <c r="C6967" s="2" t="str">
        <f>"VIC-13"</f>
        <v>VIC-13</v>
      </c>
      <c r="D6967" t="s">
        <v>7042</v>
      </c>
      <c r="E6967" t="s">
        <v>4</v>
      </c>
      <c r="F6967">
        <v>29.45</v>
      </c>
      <c r="H6967" t="s">
        <v>5</v>
      </c>
      <c r="I6967" s="1">
        <v>55.94</v>
      </c>
      <c r="J6967" s="1">
        <v>52.96</v>
      </c>
      <c r="K6967" t="s">
        <v>6</v>
      </c>
    </row>
    <row r="6968" spans="1:11">
      <c r="A6968" t="s">
        <v>6847</v>
      </c>
      <c r="B6968">
        <v>401735</v>
      </c>
      <c r="C6968" s="2" t="str">
        <f>"VIC-14"</f>
        <v>VIC-14</v>
      </c>
      <c r="D6968" t="s">
        <v>7043</v>
      </c>
      <c r="E6968" t="s">
        <v>4</v>
      </c>
      <c r="F6968">
        <v>33.450000000000003</v>
      </c>
      <c r="H6968" t="s">
        <v>5</v>
      </c>
      <c r="I6968" s="1">
        <v>64.75</v>
      </c>
      <c r="J6968" s="1">
        <v>60.62</v>
      </c>
      <c r="K6968" t="s">
        <v>6</v>
      </c>
    </row>
    <row r="6969" spans="1:11">
      <c r="A6969" t="s">
        <v>6847</v>
      </c>
      <c r="B6969">
        <v>397779</v>
      </c>
      <c r="C6969" s="2" t="str">
        <f>"VIC-16"</f>
        <v>VIC-16</v>
      </c>
      <c r="D6969" t="s">
        <v>7044</v>
      </c>
      <c r="E6969" t="s">
        <v>4</v>
      </c>
      <c r="F6969">
        <v>28.1</v>
      </c>
      <c r="H6969" t="s">
        <v>5</v>
      </c>
      <c r="I6969" s="1">
        <v>36.44</v>
      </c>
      <c r="J6969" s="1">
        <v>35.14</v>
      </c>
      <c r="K6969" t="s">
        <v>6</v>
      </c>
    </row>
    <row r="6970" spans="1:11">
      <c r="A6970" t="s">
        <v>6847</v>
      </c>
      <c r="B6970">
        <v>397783</v>
      </c>
      <c r="C6970" s="2" t="str">
        <f>"VIC-3"</f>
        <v>VIC-3</v>
      </c>
      <c r="D6970" t="s">
        <v>7045</v>
      </c>
      <c r="E6970" t="s">
        <v>4</v>
      </c>
      <c r="F6970">
        <v>36</v>
      </c>
      <c r="H6970" t="s">
        <v>5</v>
      </c>
      <c r="I6970" s="1">
        <v>49.44</v>
      </c>
      <c r="J6970" s="1">
        <v>48.14</v>
      </c>
      <c r="K6970" t="s">
        <v>6</v>
      </c>
    </row>
    <row r="6971" spans="1:11">
      <c r="A6971" t="s">
        <v>6847</v>
      </c>
      <c r="B6971">
        <v>397791</v>
      </c>
      <c r="C6971" s="2" t="str">
        <f>"VIC-4"</f>
        <v>VIC-4</v>
      </c>
      <c r="D6971" t="s">
        <v>7046</v>
      </c>
      <c r="E6971" t="s">
        <v>4</v>
      </c>
      <c r="F6971">
        <v>24</v>
      </c>
      <c r="H6971" t="s">
        <v>5</v>
      </c>
      <c r="I6971" s="1">
        <v>31.84</v>
      </c>
      <c r="J6971" s="1">
        <v>30.54</v>
      </c>
      <c r="K6971" t="s">
        <v>6</v>
      </c>
    </row>
    <row r="6972" spans="1:11">
      <c r="A6972" t="s">
        <v>6847</v>
      </c>
      <c r="B6972">
        <v>398564</v>
      </c>
      <c r="C6972" s="2" t="str">
        <f>"VIC-6"</f>
        <v>VIC-6</v>
      </c>
      <c r="D6972" t="s">
        <v>7047</v>
      </c>
      <c r="E6972" t="s">
        <v>4</v>
      </c>
      <c r="F6972">
        <v>28</v>
      </c>
      <c r="H6972" t="s">
        <v>5</v>
      </c>
      <c r="I6972" s="1">
        <v>36.71</v>
      </c>
      <c r="J6972" s="1">
        <v>35.409999999999997</v>
      </c>
      <c r="K6972" t="s">
        <v>6</v>
      </c>
    </row>
    <row r="6973" spans="1:11">
      <c r="A6973" t="s">
        <v>6847</v>
      </c>
      <c r="B6973">
        <v>400973</v>
      </c>
      <c r="C6973" s="2" t="str">
        <f>"VIC-7"</f>
        <v>VIC-7</v>
      </c>
      <c r="D6973" t="s">
        <v>7048</v>
      </c>
      <c r="E6973" t="s">
        <v>4</v>
      </c>
      <c r="F6973">
        <v>36.25</v>
      </c>
      <c r="H6973" t="s">
        <v>5</v>
      </c>
      <c r="I6973" s="1">
        <v>42.61</v>
      </c>
      <c r="J6973" s="1">
        <v>41.31</v>
      </c>
      <c r="K6973" t="s">
        <v>6</v>
      </c>
    </row>
    <row r="6974" spans="1:11">
      <c r="A6974" t="s">
        <v>6847</v>
      </c>
      <c r="B6974">
        <v>397792</v>
      </c>
      <c r="C6974" s="2" t="str">
        <f>"VIC-8"</f>
        <v>VIC-8</v>
      </c>
      <c r="D6974" t="s">
        <v>7049</v>
      </c>
      <c r="E6974" t="s">
        <v>4</v>
      </c>
      <c r="F6974">
        <v>42</v>
      </c>
      <c r="H6974" t="s">
        <v>5</v>
      </c>
      <c r="I6974" s="1">
        <v>49.44</v>
      </c>
      <c r="J6974" s="1">
        <v>48.14</v>
      </c>
      <c r="K6974" t="s">
        <v>6</v>
      </c>
    </row>
    <row r="6975" spans="1:11">
      <c r="A6975" t="s">
        <v>6847</v>
      </c>
      <c r="B6975">
        <v>400974</v>
      </c>
      <c r="C6975" s="2" t="str">
        <f>"VIC-9"</f>
        <v>VIC-9</v>
      </c>
      <c r="D6975" t="s">
        <v>7050</v>
      </c>
      <c r="E6975" t="s">
        <v>4</v>
      </c>
      <c r="F6975">
        <v>42</v>
      </c>
      <c r="H6975" t="s">
        <v>5</v>
      </c>
      <c r="I6975" s="1">
        <v>55.25</v>
      </c>
      <c r="J6975" s="1">
        <v>53.7</v>
      </c>
      <c r="K6975" t="s">
        <v>6</v>
      </c>
    </row>
    <row r="6976" spans="1:11">
      <c r="A6976" t="s">
        <v>6847</v>
      </c>
      <c r="B6976">
        <v>397793</v>
      </c>
      <c r="C6976" s="2" t="str">
        <f>"WEL-1"</f>
        <v>WEL-1</v>
      </c>
      <c r="D6976" t="s">
        <v>7051</v>
      </c>
      <c r="E6976" t="s">
        <v>4</v>
      </c>
      <c r="F6976">
        <v>24.2</v>
      </c>
      <c r="H6976" t="s">
        <v>5</v>
      </c>
      <c r="I6976" s="1">
        <v>48.75</v>
      </c>
      <c r="J6976" s="1">
        <v>45.45</v>
      </c>
      <c r="K6976" t="s">
        <v>6</v>
      </c>
    </row>
    <row r="6977" spans="1:11">
      <c r="A6977" t="s">
        <v>6847</v>
      </c>
      <c r="B6977">
        <v>397713</v>
      </c>
      <c r="C6977" s="2" t="str">
        <f>"WEL-10"</f>
        <v>WEL-10</v>
      </c>
      <c r="D6977" t="s">
        <v>7052</v>
      </c>
      <c r="E6977" t="s">
        <v>4</v>
      </c>
      <c r="F6977">
        <v>30</v>
      </c>
      <c r="H6977" t="s">
        <v>5</v>
      </c>
      <c r="I6977" s="1">
        <v>62.87</v>
      </c>
      <c r="J6977" s="1">
        <v>59.31</v>
      </c>
      <c r="K6977" t="s">
        <v>6</v>
      </c>
    </row>
    <row r="6978" spans="1:11">
      <c r="A6978" t="s">
        <v>6847</v>
      </c>
      <c r="B6978">
        <v>397716</v>
      </c>
      <c r="C6978" s="2" t="str">
        <f>"WEL-11"</f>
        <v>WEL-11</v>
      </c>
      <c r="D6978" t="s">
        <v>7053</v>
      </c>
      <c r="E6978" t="s">
        <v>4</v>
      </c>
      <c r="F6978">
        <v>17.45</v>
      </c>
      <c r="H6978" t="s">
        <v>5</v>
      </c>
      <c r="I6978" s="1">
        <v>43.88</v>
      </c>
      <c r="J6978" s="1">
        <v>39.17</v>
      </c>
      <c r="K6978" t="s">
        <v>6</v>
      </c>
    </row>
    <row r="6979" spans="1:11">
      <c r="A6979" t="s">
        <v>6847</v>
      </c>
      <c r="B6979">
        <v>397718</v>
      </c>
      <c r="C6979" s="2" t="str">
        <f>"WEL-16"</f>
        <v>WEL-16</v>
      </c>
      <c r="D6979" t="s">
        <v>7054</v>
      </c>
      <c r="E6979" t="s">
        <v>4</v>
      </c>
      <c r="F6979">
        <v>23.1</v>
      </c>
      <c r="H6979" t="s">
        <v>5</v>
      </c>
      <c r="I6979" s="1">
        <v>39.26</v>
      </c>
      <c r="J6979" s="1">
        <v>37.96</v>
      </c>
      <c r="K6979" t="s">
        <v>6</v>
      </c>
    </row>
    <row r="6980" spans="1:11">
      <c r="A6980" t="s">
        <v>6847</v>
      </c>
      <c r="B6980">
        <v>397719</v>
      </c>
      <c r="C6980" s="2" t="str">
        <f>"WEL-2"</f>
        <v>WEL-2</v>
      </c>
      <c r="D6980" t="s">
        <v>7055</v>
      </c>
      <c r="E6980" t="s">
        <v>4</v>
      </c>
      <c r="F6980">
        <v>20.45</v>
      </c>
      <c r="H6980" t="s">
        <v>5</v>
      </c>
      <c r="I6980" s="1">
        <v>41.56</v>
      </c>
      <c r="J6980" s="1">
        <v>40.83</v>
      </c>
      <c r="K6980" t="s">
        <v>6</v>
      </c>
    </row>
    <row r="6981" spans="1:11">
      <c r="A6981" t="s">
        <v>6847</v>
      </c>
      <c r="B6981">
        <v>397720</v>
      </c>
      <c r="C6981" s="2" t="str">
        <f>"WEL-4"</f>
        <v>WEL-4</v>
      </c>
      <c r="D6981" t="s">
        <v>7056</v>
      </c>
      <c r="E6981" t="s">
        <v>4</v>
      </c>
      <c r="F6981">
        <v>21.3</v>
      </c>
      <c r="H6981" t="s">
        <v>5</v>
      </c>
      <c r="I6981" s="1">
        <v>41.56</v>
      </c>
      <c r="J6981" s="1">
        <v>39.92</v>
      </c>
      <c r="K6981" t="s">
        <v>6</v>
      </c>
    </row>
    <row r="6982" spans="1:11">
      <c r="A6982" t="s">
        <v>6847</v>
      </c>
      <c r="B6982">
        <v>397721</v>
      </c>
      <c r="C6982" s="2" t="str">
        <f>"WEL-5"</f>
        <v>WEL-5</v>
      </c>
      <c r="D6982" t="s">
        <v>7057</v>
      </c>
      <c r="E6982" t="s">
        <v>4</v>
      </c>
      <c r="F6982">
        <v>17.05</v>
      </c>
      <c r="H6982" t="s">
        <v>5</v>
      </c>
      <c r="I6982" s="1">
        <v>37.74</v>
      </c>
      <c r="J6982" s="1">
        <v>35.299999999999997</v>
      </c>
      <c r="K6982" t="s">
        <v>6</v>
      </c>
    </row>
    <row r="6983" spans="1:11">
      <c r="A6983" t="s">
        <v>6847</v>
      </c>
      <c r="B6983">
        <v>397722</v>
      </c>
      <c r="C6983" s="2" t="str">
        <f>"WEL-6"</f>
        <v>WEL-6</v>
      </c>
      <c r="D6983" t="s">
        <v>7058</v>
      </c>
      <c r="E6983" t="s">
        <v>4</v>
      </c>
      <c r="F6983">
        <v>24.45</v>
      </c>
      <c r="H6983" t="s">
        <v>5</v>
      </c>
      <c r="I6983" s="1">
        <v>48.75</v>
      </c>
      <c r="J6983" s="1">
        <v>45.9</v>
      </c>
      <c r="K6983" t="s">
        <v>6</v>
      </c>
    </row>
    <row r="6984" spans="1:11">
      <c r="A6984" t="s">
        <v>6847</v>
      </c>
      <c r="B6984">
        <v>397724</v>
      </c>
      <c r="C6984" s="2" t="str">
        <f>"WEL-7"</f>
        <v>WEL-7</v>
      </c>
      <c r="D6984" t="s">
        <v>7059</v>
      </c>
      <c r="E6984" t="s">
        <v>4</v>
      </c>
      <c r="F6984">
        <v>31</v>
      </c>
      <c r="H6984" t="s">
        <v>5</v>
      </c>
      <c r="I6984" s="1">
        <v>51.08</v>
      </c>
      <c r="J6984" s="1">
        <v>48.87</v>
      </c>
      <c r="K6984" t="s">
        <v>6</v>
      </c>
    </row>
    <row r="6985" spans="1:11">
      <c r="A6985" t="s">
        <v>6847</v>
      </c>
      <c r="B6985">
        <v>397725</v>
      </c>
      <c r="C6985" s="2" t="str">
        <f>"WEL-8"</f>
        <v>WEL-8</v>
      </c>
      <c r="D6985" t="s">
        <v>7060</v>
      </c>
      <c r="E6985" t="s">
        <v>4</v>
      </c>
      <c r="F6985">
        <v>42</v>
      </c>
      <c r="H6985" t="s">
        <v>5</v>
      </c>
      <c r="I6985" s="1">
        <v>60.91</v>
      </c>
      <c r="J6985" s="1">
        <v>60.59</v>
      </c>
      <c r="K6985" t="s">
        <v>6</v>
      </c>
    </row>
  </sheetData>
  <sortState ref="A5:L6985">
    <sortCondition ref="A5:A6985"/>
    <sortCondition ref="C5:C69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rudiereinigerdsr_12182012085408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dcterms:created xsi:type="dcterms:W3CDTF">2012-12-18T15:46:14Z</dcterms:created>
  <dcterms:modified xsi:type="dcterms:W3CDTF">2012-12-28T19:00:52Z</dcterms:modified>
</cp:coreProperties>
</file>